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Business Finance\Board Reports\BOT reports\Presented in FY 16-17\JUNE 2017\"/>
    </mc:Choice>
  </mc:AlternateContent>
  <bookViews>
    <workbookView xWindow="0" yWindow="0" windowWidth="15360" windowHeight="8910" activeTab="3"/>
  </bookViews>
  <sheets>
    <sheet name="Governor's Budget" sheetId="1" r:id="rId1"/>
    <sheet name="Senate Budget" sheetId="2" r:id="rId2"/>
    <sheet name="House" sheetId="3" r:id="rId3"/>
    <sheet name="BOT Version" sheetId="4" r:id="rId4"/>
  </sheets>
  <definedNames>
    <definedName name="_xlnm.Print_Area" localSheetId="3">'BOT Version'!$D$1:$N$29</definedName>
    <definedName name="_xlnm.Print_Area" localSheetId="0">'Governor''s Budget'!$D$2:$L$51</definedName>
    <definedName name="_xlnm.Print_Area" localSheetId="2">House!$D$2:$N$27</definedName>
    <definedName name="_xlnm.Print_Area" localSheetId="1">'Senate Budget'!$D$2:$L$54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4" l="1"/>
  <c r="S26" i="4"/>
  <c r="P26" i="4"/>
  <c r="V26" i="4" s="1"/>
  <c r="R25" i="4"/>
  <c r="Q25" i="4"/>
  <c r="V25" i="4" s="1"/>
  <c r="V24" i="4"/>
  <c r="R23" i="4"/>
  <c r="V23" i="4" s="1"/>
  <c r="V22" i="4"/>
  <c r="V21" i="4"/>
  <c r="V20" i="4"/>
  <c r="V19" i="4"/>
  <c r="R18" i="4"/>
  <c r="V18" i="4" s="1"/>
  <c r="O68" i="4"/>
  <c r="M61" i="4"/>
  <c r="L61" i="4"/>
  <c r="K61" i="4"/>
  <c r="J61" i="4"/>
  <c r="I61" i="4"/>
  <c r="N61" i="4" s="1"/>
  <c r="H61" i="4"/>
  <c r="N60" i="4"/>
  <c r="N59" i="4"/>
  <c r="N58" i="4"/>
  <c r="N57" i="4"/>
  <c r="N56" i="4"/>
  <c r="N55" i="4"/>
  <c r="N54" i="4"/>
  <c r="N53" i="4"/>
  <c r="N52" i="4"/>
  <c r="N51" i="4"/>
  <c r="P31" i="4"/>
  <c r="N28" i="4"/>
  <c r="G28" i="4"/>
  <c r="G26" i="4"/>
  <c r="N25" i="4"/>
  <c r="J25" i="4"/>
  <c r="I25" i="4"/>
  <c r="P29" i="4" s="1"/>
  <c r="F25" i="4"/>
  <c r="N24" i="4"/>
  <c r="J23" i="4"/>
  <c r="N23" i="4" s="1"/>
  <c r="N22" i="4"/>
  <c r="N21" i="4"/>
  <c r="G21" i="4"/>
  <c r="N20" i="4"/>
  <c r="N19" i="4"/>
  <c r="N18" i="4"/>
  <c r="J18" i="4"/>
  <c r="F18" i="4"/>
  <c r="U15" i="4"/>
  <c r="L14" i="4"/>
  <c r="M12" i="4"/>
  <c r="M15" i="4" s="1"/>
  <c r="M27" i="4" s="1"/>
  <c r="M29" i="4" s="1"/>
  <c r="L12" i="4"/>
  <c r="L15" i="4" s="1"/>
  <c r="L27" i="4" s="1"/>
  <c r="L29" i="4" s="1"/>
  <c r="O11" i="4"/>
  <c r="N11" i="4"/>
  <c r="N10" i="4"/>
  <c r="N12" i="4" s="1"/>
  <c r="K10" i="4"/>
  <c r="J10" i="4"/>
  <c r="I10" i="4"/>
  <c r="H10" i="4"/>
  <c r="X8" i="4"/>
  <c r="U8" i="4"/>
  <c r="I14" i="4" s="1"/>
  <c r="F14" i="4" s="1"/>
  <c r="T8" i="4"/>
  <c r="H8" i="4" s="1"/>
  <c r="I8" i="4"/>
  <c r="X7" i="4"/>
  <c r="W8" i="4" s="1"/>
  <c r="O10" i="4" l="1"/>
  <c r="K8" i="4"/>
  <c r="K14" i="4"/>
  <c r="K9" i="4"/>
  <c r="K26" i="4" s="1"/>
  <c r="K7" i="4"/>
  <c r="H7" i="4"/>
  <c r="H9" i="4"/>
  <c r="H14" i="4"/>
  <c r="I7" i="4"/>
  <c r="V8" i="4"/>
  <c r="I9" i="4"/>
  <c r="F12" i="4" s="1"/>
  <c r="F15" i="4" s="1"/>
  <c r="F29" i="4" s="1"/>
  <c r="L12" i="3"/>
  <c r="K12" i="3"/>
  <c r="J12" i="3"/>
  <c r="I12" i="3"/>
  <c r="H12" i="3"/>
  <c r="M13" i="3"/>
  <c r="J14" i="4" l="1"/>
  <c r="J9" i="4"/>
  <c r="O9" i="4" s="1"/>
  <c r="J7" i="4"/>
  <c r="J8" i="4"/>
  <c r="O8" i="4" s="1"/>
  <c r="H12" i="4"/>
  <c r="H15" i="4" s="1"/>
  <c r="G12" i="4"/>
  <c r="G15" i="4" s="1"/>
  <c r="G29" i="4" s="1"/>
  <c r="I12" i="4"/>
  <c r="I15" i="4" s="1"/>
  <c r="I27" i="4" s="1"/>
  <c r="I29" i="4" s="1"/>
  <c r="N14" i="4"/>
  <c r="N15" i="4" s="1"/>
  <c r="H26" i="4"/>
  <c r="N26" i="4" s="1"/>
  <c r="K12" i="4"/>
  <c r="K15" i="4" s="1"/>
  <c r="K27" i="4" s="1"/>
  <c r="K29" i="4" s="1"/>
  <c r="J21" i="3"/>
  <c r="J23" i="3"/>
  <c r="J12" i="4" l="1"/>
  <c r="J15" i="4" s="1"/>
  <c r="J27" i="4" s="1"/>
  <c r="J29" i="4" s="1"/>
  <c r="H27" i="4"/>
  <c r="O14" i="4"/>
  <c r="O7" i="4"/>
  <c r="O12" i="4" s="1"/>
  <c r="J16" i="3"/>
  <c r="N27" i="4" l="1"/>
  <c r="N29" i="4" s="1"/>
  <c r="H29" i="4"/>
  <c r="N17" i="3"/>
  <c r="N18" i="3"/>
  <c r="N19" i="3"/>
  <c r="N20" i="3"/>
  <c r="N21" i="3"/>
  <c r="N22" i="3"/>
  <c r="N23" i="3"/>
  <c r="N24" i="3"/>
  <c r="N16" i="3"/>
  <c r="I23" i="3" l="1"/>
  <c r="K24" i="3" l="1"/>
  <c r="H24" i="3"/>
  <c r="G26" i="3" l="1"/>
  <c r="G24" i="3"/>
  <c r="G19" i="3"/>
  <c r="F16" i="3"/>
  <c r="P29" i="3"/>
  <c r="P27" i="3"/>
  <c r="F23" i="3" l="1"/>
  <c r="N26" i="3"/>
  <c r="O66" i="3" l="1"/>
  <c r="M59" i="3"/>
  <c r="L59" i="3"/>
  <c r="K59" i="3"/>
  <c r="J59" i="3"/>
  <c r="I59" i="3"/>
  <c r="H59" i="3"/>
  <c r="N58" i="3"/>
  <c r="N57" i="3"/>
  <c r="N56" i="3"/>
  <c r="N55" i="3"/>
  <c r="N54" i="3"/>
  <c r="N53" i="3"/>
  <c r="N52" i="3"/>
  <c r="N51" i="3"/>
  <c r="N50" i="3"/>
  <c r="N49" i="3"/>
  <c r="U13" i="3"/>
  <c r="M10" i="3"/>
  <c r="M25" i="3" s="1"/>
  <c r="M27" i="3" s="1"/>
  <c r="L10" i="3"/>
  <c r="L13" i="3" s="1"/>
  <c r="L25" i="3" s="1"/>
  <c r="L27" i="3" s="1"/>
  <c r="O9" i="3"/>
  <c r="N9" i="3"/>
  <c r="X5" i="3"/>
  <c r="U6" i="3" s="1"/>
  <c r="N1" i="3"/>
  <c r="I6" i="3" l="1"/>
  <c r="N59" i="3"/>
  <c r="I7" i="3"/>
  <c r="F12" i="3"/>
  <c r="I5" i="3"/>
  <c r="G10" i="3" s="1"/>
  <c r="G13" i="3" s="1"/>
  <c r="G27" i="3" s="1"/>
  <c r="V6" i="3"/>
  <c r="W6" i="3"/>
  <c r="T6" i="3"/>
  <c r="X6" i="3"/>
  <c r="H12" i="2"/>
  <c r="L8" i="2"/>
  <c r="L6" i="2"/>
  <c r="L5" i="2"/>
  <c r="M54" i="2"/>
  <c r="K47" i="2"/>
  <c r="J47" i="2"/>
  <c r="I47" i="2"/>
  <c r="H47" i="2"/>
  <c r="G47" i="2"/>
  <c r="F47" i="2"/>
  <c r="L46" i="2"/>
  <c r="L45" i="2"/>
  <c r="L44" i="2"/>
  <c r="L43" i="2"/>
  <c r="L42" i="2"/>
  <c r="L41" i="2"/>
  <c r="L40" i="2"/>
  <c r="L39" i="2"/>
  <c r="L38" i="2"/>
  <c r="L37" i="2"/>
  <c r="S14" i="2"/>
  <c r="K10" i="2"/>
  <c r="K14" i="2" s="1"/>
  <c r="J10" i="2"/>
  <c r="J14" i="2" s="1"/>
  <c r="M9" i="2"/>
  <c r="L9" i="2"/>
  <c r="V5" i="2"/>
  <c r="S6" i="2" s="1"/>
  <c r="L1" i="2"/>
  <c r="K6" i="3" l="1"/>
  <c r="J6" i="3"/>
  <c r="H6" i="3"/>
  <c r="J5" i="3"/>
  <c r="J7" i="3"/>
  <c r="K7" i="3"/>
  <c r="K5" i="3"/>
  <c r="H7" i="3"/>
  <c r="N12" i="3"/>
  <c r="H5" i="3"/>
  <c r="G6" i="2"/>
  <c r="G8" i="2"/>
  <c r="T6" i="2"/>
  <c r="H7" i="2" s="1"/>
  <c r="L47" i="2"/>
  <c r="G13" i="2"/>
  <c r="G7" i="2"/>
  <c r="U6" i="2"/>
  <c r="I8" i="2" s="1"/>
  <c r="G5" i="2"/>
  <c r="R6" i="2"/>
  <c r="F8" i="2" s="1"/>
  <c r="V6" i="2"/>
  <c r="L10" i="2"/>
  <c r="S13" i="1"/>
  <c r="L7" i="1" s="1"/>
  <c r="N8" i="3" s="1"/>
  <c r="N10" i="3" s="1"/>
  <c r="N13" i="3" l="1"/>
  <c r="I6" i="2"/>
  <c r="O6" i="3"/>
  <c r="O5" i="3"/>
  <c r="O7" i="3"/>
  <c r="H5" i="2"/>
  <c r="H13" i="2"/>
  <c r="H6" i="2"/>
  <c r="H8" i="2"/>
  <c r="M8" i="2" s="1"/>
  <c r="G10" i="2"/>
  <c r="G14" i="2" s="1"/>
  <c r="F13" i="2"/>
  <c r="F7" i="2"/>
  <c r="F6" i="2"/>
  <c r="F5" i="2"/>
  <c r="I13" i="2"/>
  <c r="I7" i="2"/>
  <c r="I5" i="2"/>
  <c r="H10" i="2" l="1"/>
  <c r="H14" i="2" s="1"/>
  <c r="I10" i="2"/>
  <c r="I14" i="2" s="1"/>
  <c r="M6" i="2"/>
  <c r="O12" i="3"/>
  <c r="M7" i="2"/>
  <c r="F10" i="2"/>
  <c r="F14" i="2" s="1"/>
  <c r="M5" i="2"/>
  <c r="L13" i="2"/>
  <c r="L14" i="2" s="1"/>
  <c r="J10" i="1"/>
  <c r="J13" i="1" s="1"/>
  <c r="K10" i="1"/>
  <c r="K13" i="1" s="1"/>
  <c r="M51" i="1"/>
  <c r="M9" i="1"/>
  <c r="V5" i="1"/>
  <c r="T6" i="1" s="1"/>
  <c r="L51" i="1"/>
  <c r="L9" i="1"/>
  <c r="L6" i="1"/>
  <c r="L5" i="1"/>
  <c r="M10" i="2" l="1"/>
  <c r="H12" i="1"/>
  <c r="H7" i="1"/>
  <c r="J8" i="3" s="1"/>
  <c r="J10" i="3" s="1"/>
  <c r="J13" i="3" s="1"/>
  <c r="J25" i="3" s="1"/>
  <c r="J27" i="3" s="1"/>
  <c r="M13" i="2"/>
  <c r="R6" i="1"/>
  <c r="V6" i="1"/>
  <c r="U6" i="1"/>
  <c r="S6" i="1"/>
  <c r="H8" i="1"/>
  <c r="H6" i="1"/>
  <c r="L10" i="1"/>
  <c r="H5" i="1"/>
  <c r="F8" i="1" l="1"/>
  <c r="F12" i="1"/>
  <c r="F7" i="1"/>
  <c r="G8" i="1"/>
  <c r="G7" i="1"/>
  <c r="I8" i="3" s="1"/>
  <c r="G12" i="1"/>
  <c r="I8" i="1"/>
  <c r="I7" i="1"/>
  <c r="K8" i="3" s="1"/>
  <c r="K10" i="3" s="1"/>
  <c r="K13" i="3" s="1"/>
  <c r="K25" i="3" s="1"/>
  <c r="K27" i="3" s="1"/>
  <c r="I12" i="1"/>
  <c r="I5" i="1"/>
  <c r="F5" i="1"/>
  <c r="F6" i="1"/>
  <c r="I6" i="1"/>
  <c r="G5" i="1"/>
  <c r="G6" i="1"/>
  <c r="H10" i="1"/>
  <c r="H13" i="1" s="1"/>
  <c r="G44" i="1"/>
  <c r="H44" i="1"/>
  <c r="I44" i="1"/>
  <c r="J44" i="1"/>
  <c r="K44" i="1"/>
  <c r="F44" i="1"/>
  <c r="L38" i="1"/>
  <c r="L39" i="1"/>
  <c r="L40" i="1"/>
  <c r="L41" i="1"/>
  <c r="L42" i="1"/>
  <c r="L43" i="1"/>
  <c r="L1" i="1"/>
  <c r="L33" i="1"/>
  <c r="L34" i="1"/>
  <c r="L35" i="1"/>
  <c r="L36" i="1"/>
  <c r="L37" i="1"/>
  <c r="I10" i="3" l="1"/>
  <c r="I13" i="3" s="1"/>
  <c r="I25" i="3" s="1"/>
  <c r="F10" i="3"/>
  <c r="F13" i="3" s="1"/>
  <c r="F27" i="3" s="1"/>
  <c r="I10" i="1"/>
  <c r="I13" i="1" s="1"/>
  <c r="G10" i="1"/>
  <c r="G13" i="1" s="1"/>
  <c r="M8" i="1"/>
  <c r="H8" i="3"/>
  <c r="M7" i="1"/>
  <c r="L12" i="1"/>
  <c r="F10" i="1"/>
  <c r="F13" i="1" s="1"/>
  <c r="M6" i="1"/>
  <c r="M5" i="1"/>
  <c r="L44" i="1"/>
  <c r="I27" i="3" l="1"/>
  <c r="L13" i="1"/>
  <c r="M12" i="1"/>
  <c r="H10" i="3"/>
  <c r="H13" i="3" s="1"/>
  <c r="H25" i="3" s="1"/>
  <c r="H27" i="3" s="1"/>
  <c r="O8" i="3"/>
  <c r="O10" i="3" s="1"/>
  <c r="M10" i="1"/>
  <c r="N25" i="3" l="1"/>
  <c r="N27" i="3" s="1"/>
</calcChain>
</file>

<file path=xl/sharedStrings.xml><?xml version="1.0" encoding="utf-8"?>
<sst xmlns="http://schemas.openxmlformats.org/spreadsheetml/2006/main" count="268" uniqueCount="79">
  <si>
    <t>Central</t>
  </si>
  <si>
    <t>North</t>
  </si>
  <si>
    <t>South</t>
  </si>
  <si>
    <t>SVI</t>
  </si>
  <si>
    <t>District Office</t>
  </si>
  <si>
    <t>District-wide</t>
  </si>
  <si>
    <t>MESA Program</t>
  </si>
  <si>
    <t>Total</t>
  </si>
  <si>
    <t>HEET</t>
  </si>
  <si>
    <t>Aerospace Apprent</t>
  </si>
  <si>
    <t>Aerospace Enrollment</t>
  </si>
  <si>
    <t>Allied Health Prog (Pac Tower)</t>
  </si>
  <si>
    <t>Labor Education &amp; Research Center</t>
  </si>
  <si>
    <t>Maritime Industries</t>
  </si>
  <si>
    <t xml:space="preserve">Opportunity Grants </t>
  </si>
  <si>
    <t>Disability Accommodations</t>
  </si>
  <si>
    <t>Students of Color</t>
  </si>
  <si>
    <t>Workforce Dev Projects</t>
  </si>
  <si>
    <t>Tuition Revenue Backfill (10% of total)</t>
  </si>
  <si>
    <t>Academic &amp; Career Planning (10% of total)</t>
  </si>
  <si>
    <t>SBCTC reduction PROJECTED</t>
  </si>
  <si>
    <t>Seattle Colleges' Tuition reduction PROJECTED</t>
  </si>
  <si>
    <t>BAS Tuition</t>
  </si>
  <si>
    <t>International Tuition</t>
  </si>
  <si>
    <t>FTES</t>
  </si>
  <si>
    <t>check</t>
  </si>
  <si>
    <t xml:space="preserve">Assumptions: </t>
  </si>
  <si>
    <t>Seattle = 10% of SBCTC enrollment and Tuition backfill and Acad &amp; Career Planning funds are distributed based on enrollment</t>
  </si>
  <si>
    <t xml:space="preserve">Seattle enrollment changes are in line with the other ctc's across the state. </t>
  </si>
  <si>
    <t xml:space="preserve">District-wide budget continues to track as originally budgeted. </t>
  </si>
  <si>
    <t>PROJECTED REDUCTIONS</t>
  </si>
  <si>
    <t>Provisoes &amp; Earmarks continue in 17/19 budget</t>
  </si>
  <si>
    <t xml:space="preserve">Other factors to consider locally: </t>
  </si>
  <si>
    <t>Indirect Cost recoveries</t>
  </si>
  <si>
    <t>Carryforward utilization</t>
  </si>
  <si>
    <t>Uncertain items (Provisoes / Earmarks)</t>
  </si>
  <si>
    <t>Worker Retraining enrollment impacts</t>
  </si>
  <si>
    <t>Nursing Program Impacts</t>
  </si>
  <si>
    <t>District Office has no changes other than nursing increase of $500k</t>
  </si>
  <si>
    <t>Colleges and District budgets are balanced for FY 1617 / No new decisions on SVI at this time.</t>
  </si>
  <si>
    <t>k</t>
  </si>
  <si>
    <t>Seattle Colleges' local share of salary increases</t>
  </si>
  <si>
    <t xml:space="preserve">Salary Increases </t>
  </si>
  <si>
    <t xml:space="preserve">Total Salaries </t>
  </si>
  <si>
    <t>Local share</t>
  </si>
  <si>
    <t>Increases for 1718</t>
  </si>
  <si>
    <t>Health Rate changes are a pass through in terms of operating budget impact</t>
  </si>
  <si>
    <t>Projected Adjustments using Senate's Budget Proposal updated 3/22/17 by KRB</t>
  </si>
  <si>
    <t xml:space="preserve">Tuition Revenue Backfill </t>
  </si>
  <si>
    <t>Student Financial Planning Proviso</t>
  </si>
  <si>
    <t>State budget cut (assumes less tuition waived)</t>
  </si>
  <si>
    <t>Labor Education Center reduction</t>
  </si>
  <si>
    <t xml:space="preserve">Faculty COLA increases of 2.3% and staff increases of $500 / person are fully funded by the State. </t>
  </si>
  <si>
    <t xml:space="preserve">Tuition increase of 2.2% is offset by decline in enrollment due to the increase and reductions in Workfirst funding. </t>
  </si>
  <si>
    <t xml:space="preserve">District Office has no changes other than nursing increase of $500k. </t>
  </si>
  <si>
    <t xml:space="preserve">Projected Adjustments using Governor's Budget Proposal updated 3/1/17 by KRB </t>
  </si>
  <si>
    <t xml:space="preserve">Swap of Opportunity Grant funding for Workfirst funding is neutral in its financial impact. </t>
  </si>
  <si>
    <t>Guided Pathways / I-BEST</t>
  </si>
  <si>
    <t xml:space="preserve">Faculty COLA increases of 2.3% and staff increases of $500 / person are under-funded by 30% (local dollars).  </t>
  </si>
  <si>
    <t xml:space="preserve">Seattle Colleges receives a share of Provisos proportionate to its size. </t>
  </si>
  <si>
    <t>Local funding changes</t>
  </si>
  <si>
    <t>International Conversion impacts</t>
  </si>
  <si>
    <t>International Student cost recoveries</t>
  </si>
  <si>
    <t>Running Start Student cost recoveries</t>
  </si>
  <si>
    <t>Indirect cost recoveries</t>
  </si>
  <si>
    <t>New Budget Reductions 1718 - Perm Level</t>
  </si>
  <si>
    <t>IP, RS, Converisons, Carryfwd</t>
  </si>
  <si>
    <t>dy Chk Figures - Needs</t>
  </si>
  <si>
    <t>dy Chk Figures - Funding</t>
  </si>
  <si>
    <t>Local Revenue Temp</t>
  </si>
  <si>
    <t>Ongoing expenses requiring local funds</t>
  </si>
  <si>
    <t>Vacant/Reassign Staff Positions</t>
  </si>
  <si>
    <t>New expenses / mandates (Personnel Costs; Utilities)</t>
  </si>
  <si>
    <t>Transfer of fund balances (Carryforward)</t>
  </si>
  <si>
    <t>Projected CHANGES in Operating Budget using House Proposal updated 6/2/17</t>
  </si>
  <si>
    <t>International Conversion impact</t>
  </si>
  <si>
    <t>Reduction of local funds in operating budget</t>
  </si>
  <si>
    <t>New expenses / mandates (Personnel Costs, utilities, etc.)</t>
  </si>
  <si>
    <t>TOTAL OPERATING BUDGET CHANGE FY1617 TO FY 1718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</si>
</sst>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0" fontId="0" fillId="0" borderId="0" xfId="2" applyNumberFormat="1" applyFont="1"/>
    <xf numFmtId="164" fontId="0" fillId="0" borderId="1" xfId="1" applyNumberFormat="1" applyFont="1" applyBorder="1"/>
    <xf numFmtId="0" fontId="0" fillId="0" borderId="0" xfId="0" applyBorder="1"/>
    <xf numFmtId="164" fontId="3" fillId="2" borderId="3" xfId="1" applyNumberFormat="1" applyFont="1" applyFill="1" applyBorder="1"/>
    <xf numFmtId="164" fontId="3" fillId="2" borderId="2" xfId="1" applyNumberFormat="1" applyFont="1" applyFill="1" applyBorder="1"/>
    <xf numFmtId="164" fontId="3" fillId="2" borderId="4" xfId="1" applyNumberFormat="1" applyFont="1" applyFill="1" applyBorder="1"/>
    <xf numFmtId="0" fontId="2" fillId="0" borderId="1" xfId="0" applyFont="1" applyBorder="1" applyAlignment="1">
      <alignment horizontal="center"/>
    </xf>
    <xf numFmtId="164" fontId="1" fillId="0" borderId="0" xfId="1" applyNumberFormat="1" applyFont="1" applyFill="1" applyBorder="1"/>
    <xf numFmtId="164" fontId="0" fillId="0" borderId="0" xfId="1" applyNumberFormat="1" applyFont="1" applyBorder="1"/>
    <xf numFmtId="164" fontId="0" fillId="0" borderId="0" xfId="0" applyNumberFormat="1" applyBorder="1"/>
    <xf numFmtId="0" fontId="2" fillId="0" borderId="5" xfId="0" applyFont="1" applyBorder="1"/>
    <xf numFmtId="0" fontId="0" fillId="0" borderId="6" xfId="0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0" fontId="2" fillId="0" borderId="8" xfId="0" applyFont="1" applyBorder="1"/>
    <xf numFmtId="164" fontId="0" fillId="0" borderId="9" xfId="1" applyNumberFormat="1" applyFont="1" applyBorder="1"/>
    <xf numFmtId="0" fontId="0" fillId="0" borderId="8" xfId="0" applyBorder="1"/>
    <xf numFmtId="0" fontId="2" fillId="0" borderId="10" xfId="0" applyFont="1" applyBorder="1" applyAlignment="1">
      <alignment horizontal="center"/>
    </xf>
    <xf numFmtId="164" fontId="3" fillId="2" borderId="11" xfId="1" applyNumberFormat="1" applyFont="1" applyFill="1" applyBorder="1"/>
    <xf numFmtId="164" fontId="1" fillId="0" borderId="9" xfId="1" applyNumberFormat="1" applyFont="1" applyFill="1" applyBorder="1"/>
    <xf numFmtId="164" fontId="0" fillId="0" borderId="10" xfId="1" applyNumberFormat="1" applyFont="1" applyBorder="1"/>
    <xf numFmtId="0" fontId="0" fillId="0" borderId="8" xfId="0" applyBorder="1" applyAlignment="1">
      <alignment wrapText="1"/>
    </xf>
    <xf numFmtId="0" fontId="3" fillId="0" borderId="8" xfId="0" applyFont="1" applyBorder="1"/>
    <xf numFmtId="0" fontId="0" fillId="0" borderId="9" xfId="0" applyBorder="1"/>
    <xf numFmtId="164" fontId="2" fillId="0" borderId="0" xfId="1" applyNumberFormat="1" applyFont="1" applyBorder="1"/>
    <xf numFmtId="164" fontId="2" fillId="0" borderId="9" xfId="1" applyNumberFormat="1" applyFont="1" applyBorder="1"/>
    <xf numFmtId="0" fontId="0" fillId="0" borderId="12" xfId="0" applyBorder="1"/>
    <xf numFmtId="0" fontId="0" fillId="0" borderId="13" xfId="0" applyBorder="1"/>
    <xf numFmtId="164" fontId="0" fillId="0" borderId="13" xfId="1" applyNumberFormat="1" applyFont="1" applyBorder="1"/>
    <xf numFmtId="164" fontId="0" fillId="0" borderId="14" xfId="1" applyNumberFormat="1" applyFont="1" applyBorder="1"/>
    <xf numFmtId="15" fontId="2" fillId="0" borderId="8" xfId="0" applyNumberFormat="1" applyFont="1" applyBorder="1" applyAlignment="1">
      <alignment horizontal="left"/>
    </xf>
    <xf numFmtId="165" fontId="0" fillId="0" borderId="0" xfId="3" applyNumberFormat="1" applyFont="1"/>
    <xf numFmtId="9" fontId="0" fillId="0" borderId="0" xfId="2" applyFont="1"/>
    <xf numFmtId="165" fontId="0" fillId="0" borderId="0" xfId="0" applyNumberFormat="1"/>
    <xf numFmtId="0" fontId="0" fillId="0" borderId="8" xfId="0" applyBorder="1" applyAlignment="1"/>
    <xf numFmtId="164" fontId="0" fillId="3" borderId="9" xfId="1" applyNumberFormat="1" applyFont="1" applyFill="1" applyBorder="1"/>
    <xf numFmtId="0" fontId="0" fillId="0" borderId="8" xfId="0" applyFill="1" applyBorder="1"/>
    <xf numFmtId="0" fontId="0" fillId="0" borderId="0" xfId="0" applyFill="1" applyBorder="1"/>
    <xf numFmtId="0" fontId="2" fillId="0" borderId="10" xfId="0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9" xfId="1" applyNumberFormat="1" applyFont="1" applyFill="1" applyBorder="1"/>
    <xf numFmtId="0" fontId="2" fillId="0" borderId="8" xfId="0" applyFont="1" applyFill="1" applyBorder="1"/>
    <xf numFmtId="0" fontId="0" fillId="0" borderId="8" xfId="0" applyFill="1" applyBorder="1" applyAlignment="1"/>
    <xf numFmtId="164" fontId="0" fillId="0" borderId="0" xfId="0" applyNumberFormat="1" applyFill="1" applyBorder="1"/>
    <xf numFmtId="0" fontId="2" fillId="0" borderId="0" xfId="0" applyFont="1" applyFill="1" applyBorder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3" fillId="0" borderId="0" xfId="0" applyFont="1" applyBorder="1"/>
    <xf numFmtId="0" fontId="2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5" fillId="0" borderId="6" xfId="0" applyFont="1" applyBorder="1"/>
    <xf numFmtId="164" fontId="5" fillId="0" borderId="6" xfId="1" applyNumberFormat="1" applyFont="1" applyBorder="1"/>
    <xf numFmtId="15" fontId="4" fillId="0" borderId="8" xfId="0" applyNumberFormat="1" applyFont="1" applyBorder="1" applyAlignment="1">
      <alignment horizontal="left"/>
    </xf>
    <xf numFmtId="15" fontId="4" fillId="0" borderId="0" xfId="0" applyNumberFormat="1" applyFont="1" applyBorder="1" applyAlignment="1">
      <alignment horizontal="left"/>
    </xf>
    <xf numFmtId="0" fontId="5" fillId="0" borderId="0" xfId="0" applyFont="1" applyBorder="1"/>
    <xf numFmtId="164" fontId="5" fillId="0" borderId="0" xfId="1" applyNumberFormat="1" applyFont="1" applyBorder="1"/>
    <xf numFmtId="0" fontId="5" fillId="0" borderId="8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8" fontId="5" fillId="0" borderId="0" xfId="1" applyNumberFormat="1" applyFont="1" applyFill="1" applyBorder="1"/>
    <xf numFmtId="0" fontId="5" fillId="0" borderId="8" xfId="0" applyFont="1" applyBorder="1"/>
    <xf numFmtId="38" fontId="5" fillId="0" borderId="0" xfId="1" applyNumberFormat="1" applyFont="1" applyBorder="1"/>
    <xf numFmtId="164" fontId="5" fillId="0" borderId="0" xfId="0" applyNumberFormat="1" applyFont="1" applyFill="1" applyBorder="1"/>
    <xf numFmtId="38" fontId="6" fillId="0" borderId="3" xfId="1" applyNumberFormat="1" applyFont="1" applyFill="1" applyBorder="1"/>
    <xf numFmtId="38" fontId="6" fillId="0" borderId="2" xfId="1" applyNumberFormat="1" applyFont="1" applyFill="1" applyBorder="1"/>
    <xf numFmtId="38" fontId="6" fillId="0" borderId="11" xfId="1" applyNumberFormat="1" applyFont="1" applyFill="1" applyBorder="1"/>
    <xf numFmtId="38" fontId="5" fillId="0" borderId="9" xfId="1" applyNumberFormat="1" applyFont="1" applyFill="1" applyBorder="1"/>
    <xf numFmtId="38" fontId="5" fillId="0" borderId="1" xfId="1" applyNumberFormat="1" applyFont="1" applyFill="1" applyBorder="1"/>
    <xf numFmtId="38" fontId="5" fillId="0" borderId="10" xfId="1" applyNumberFormat="1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164" fontId="5" fillId="0" borderId="13" xfId="1" applyNumberFormat="1" applyFont="1" applyFill="1" applyBorder="1"/>
    <xf numFmtId="38" fontId="5" fillId="0" borderId="15" xfId="1" applyNumberFormat="1" applyFont="1" applyFill="1" applyBorder="1"/>
    <xf numFmtId="38" fontId="5" fillId="0" borderId="16" xfId="1" applyNumberFormat="1" applyFont="1" applyFill="1" applyBorder="1"/>
    <xf numFmtId="164" fontId="0" fillId="0" borderId="0" xfId="1" applyNumberFormat="1" applyFont="1" applyFill="1"/>
    <xf numFmtId="164" fontId="5" fillId="0" borderId="7" xfId="1" applyNumberFormat="1" applyFont="1" applyFill="1" applyBorder="1"/>
    <xf numFmtId="164" fontId="5" fillId="0" borderId="9" xfId="1" applyNumberFormat="1" applyFont="1" applyFill="1" applyBorder="1"/>
    <xf numFmtId="0" fontId="0" fillId="0" borderId="9" xfId="0" applyFill="1" applyBorder="1"/>
    <xf numFmtId="164" fontId="0" fillId="0" borderId="10" xfId="1" applyNumberFormat="1" applyFont="1" applyFill="1" applyBorder="1"/>
    <xf numFmtId="164" fontId="2" fillId="0" borderId="9" xfId="1" applyNumberFormat="1" applyFont="1" applyFill="1" applyBorder="1"/>
    <xf numFmtId="164" fontId="0" fillId="0" borderId="14" xfId="1" applyNumberFormat="1" applyFont="1" applyFill="1" applyBorder="1"/>
    <xf numFmtId="0" fontId="0" fillId="0" borderId="0" xfId="0" applyFill="1"/>
    <xf numFmtId="0" fontId="4" fillId="0" borderId="12" xfId="0" applyFont="1" applyFill="1" applyBorder="1"/>
    <xf numFmtId="0" fontId="4" fillId="0" borderId="13" xfId="0" applyFont="1" applyFill="1" applyBorder="1"/>
    <xf numFmtId="164" fontId="4" fillId="0" borderId="13" xfId="1" applyNumberFormat="1" applyFont="1" applyFill="1" applyBorder="1"/>
    <xf numFmtId="38" fontId="4" fillId="0" borderId="15" xfId="1" applyNumberFormat="1" applyFont="1" applyFill="1" applyBorder="1"/>
    <xf numFmtId="38" fontId="4" fillId="0" borderId="16" xfId="1" applyNumberFormat="1" applyFont="1" applyFill="1" applyBorder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V81"/>
  <sheetViews>
    <sheetView showWhiteSpace="0" zoomScaleNormal="100" workbookViewId="0">
      <selection activeCell="E23" sqref="E23"/>
    </sheetView>
  </sheetViews>
  <sheetFormatPr defaultRowHeight="15" x14ac:dyDescent="0.25"/>
  <cols>
    <col min="4" max="4" width="32.42578125" bestFit="1" customWidth="1"/>
    <col min="6" max="6" width="10.7109375" bestFit="1" customWidth="1"/>
    <col min="7" max="8" width="10.5703125" bestFit="1" customWidth="1"/>
    <col min="9" max="9" width="9.7109375" bestFit="1" customWidth="1"/>
    <col min="10" max="10" width="13.5703125" customWidth="1"/>
    <col min="11" max="11" width="13" customWidth="1"/>
    <col min="12" max="12" width="11.5703125" bestFit="1" customWidth="1"/>
    <col min="13" max="13" width="11.28515625" bestFit="1" customWidth="1"/>
    <col min="19" max="19" width="15.28515625" bestFit="1" customWidth="1"/>
  </cols>
  <sheetData>
    <row r="1" spans="4:22" ht="15.75" thickBot="1" x14ac:dyDescent="0.3">
      <c r="F1" s="1"/>
      <c r="G1" s="1"/>
      <c r="H1" s="1"/>
      <c r="I1" s="1"/>
      <c r="J1" s="1"/>
      <c r="K1" s="1"/>
      <c r="L1" s="1">
        <f t="shared" ref="L1" si="0">SUM(F1:K1)</f>
        <v>0</v>
      </c>
    </row>
    <row r="2" spans="4:22" x14ac:dyDescent="0.25">
      <c r="D2" s="13" t="s">
        <v>55</v>
      </c>
      <c r="E2" s="14"/>
      <c r="F2" s="15"/>
      <c r="G2" s="15"/>
      <c r="H2" s="15"/>
      <c r="I2" s="15"/>
      <c r="J2" s="15"/>
      <c r="K2" s="15"/>
      <c r="L2" s="16"/>
    </row>
    <row r="3" spans="4:22" x14ac:dyDescent="0.25">
      <c r="D3" s="33">
        <v>42793</v>
      </c>
      <c r="E3" s="5"/>
      <c r="F3" s="11"/>
      <c r="G3" s="11"/>
      <c r="H3" s="11"/>
      <c r="I3" s="11"/>
      <c r="J3" s="11"/>
      <c r="K3" s="11"/>
      <c r="L3" s="18"/>
    </row>
    <row r="4" spans="4:22" x14ac:dyDescent="0.25">
      <c r="D4" s="19"/>
      <c r="E4" s="5"/>
      <c r="F4" s="9" t="s">
        <v>0</v>
      </c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20" t="s">
        <v>7</v>
      </c>
      <c r="M4" t="s">
        <v>25</v>
      </c>
      <c r="R4" t="s">
        <v>0</v>
      </c>
      <c r="S4" t="s">
        <v>1</v>
      </c>
      <c r="T4" t="s">
        <v>2</v>
      </c>
      <c r="U4" t="s">
        <v>3</v>
      </c>
    </row>
    <row r="5" spans="4:22" x14ac:dyDescent="0.25">
      <c r="D5" s="19" t="s">
        <v>18</v>
      </c>
      <c r="E5" s="5"/>
      <c r="F5" s="11">
        <f>$L$5*R6</f>
        <v>271576.55266550387</v>
      </c>
      <c r="G5" s="11">
        <f t="shared" ref="G5:I5" si="1">$L$5*S6</f>
        <v>202399.33267612042</v>
      </c>
      <c r="H5" s="11">
        <f t="shared" si="1"/>
        <v>227296.57996511715</v>
      </c>
      <c r="I5" s="11">
        <f t="shared" si="1"/>
        <v>18727.534693258513</v>
      </c>
      <c r="J5" s="11"/>
      <c r="K5" s="11"/>
      <c r="L5" s="18">
        <f>7200000*0.1</f>
        <v>720000</v>
      </c>
      <c r="M5" s="2">
        <f t="shared" ref="M5:M7" si="2">SUM(F5:K5)</f>
        <v>719999.99999999988</v>
      </c>
      <c r="Q5" t="s">
        <v>24</v>
      </c>
      <c r="R5">
        <v>4974</v>
      </c>
      <c r="S5">
        <v>3707</v>
      </c>
      <c r="T5">
        <v>4163</v>
      </c>
      <c r="U5">
        <v>343</v>
      </c>
      <c r="V5">
        <f>SUM(R5:U5)</f>
        <v>13187</v>
      </c>
    </row>
    <row r="6" spans="4:22" x14ac:dyDescent="0.25">
      <c r="D6" s="19" t="s">
        <v>19</v>
      </c>
      <c r="E6" s="5"/>
      <c r="F6" s="11">
        <f>$L$6*R6</f>
        <v>188594.82823993327</v>
      </c>
      <c r="G6" s="11">
        <f t="shared" ref="G6:I6" si="3">$L$6*S6</f>
        <v>140555.09213619475</v>
      </c>
      <c r="H6" s="11">
        <f t="shared" si="3"/>
        <v>157844.84719799802</v>
      </c>
      <c r="I6" s="11">
        <f t="shared" si="3"/>
        <v>13005.232425873966</v>
      </c>
      <c r="J6" s="11"/>
      <c r="K6" s="11"/>
      <c r="L6" s="18">
        <f>5000000*0.1</f>
        <v>500000</v>
      </c>
      <c r="M6" s="2">
        <f t="shared" si="2"/>
        <v>500000.00000000006</v>
      </c>
      <c r="R6" s="3">
        <f>R5/$V$5</f>
        <v>0.37718965647986652</v>
      </c>
      <c r="S6" s="3">
        <f t="shared" ref="S6:V6" si="4">S5/$V$5</f>
        <v>0.28111018427238949</v>
      </c>
      <c r="T6" s="3">
        <f t="shared" si="4"/>
        <v>0.31568969439599603</v>
      </c>
      <c r="U6" s="3">
        <f t="shared" si="4"/>
        <v>2.6010464851747933E-2</v>
      </c>
      <c r="V6" s="3">
        <f t="shared" si="4"/>
        <v>1</v>
      </c>
    </row>
    <row r="7" spans="4:22" x14ac:dyDescent="0.25">
      <c r="D7" s="19" t="s">
        <v>41</v>
      </c>
      <c r="E7" s="5"/>
      <c r="F7" s="11">
        <f>$L$7*R6</f>
        <v>-203682.41449912792</v>
      </c>
      <c r="G7" s="11">
        <f t="shared" ref="G7:I7" si="5">$L$7*S6</f>
        <v>-151799.49950709031</v>
      </c>
      <c r="H7" s="11">
        <f t="shared" si="5"/>
        <v>-170472.43497383787</v>
      </c>
      <c r="I7" s="11">
        <f t="shared" si="5"/>
        <v>-14045.651019943884</v>
      </c>
      <c r="J7" s="11"/>
      <c r="K7" s="11"/>
      <c r="L7" s="18">
        <f>S13*-1</f>
        <v>-540000</v>
      </c>
      <c r="M7" s="2">
        <f t="shared" si="2"/>
        <v>-540000</v>
      </c>
      <c r="R7" s="3"/>
      <c r="S7" s="3"/>
      <c r="T7" s="3"/>
      <c r="U7" s="3"/>
      <c r="V7" s="3"/>
    </row>
    <row r="8" spans="4:22" x14ac:dyDescent="0.25">
      <c r="D8" s="19" t="s">
        <v>21</v>
      </c>
      <c r="E8" s="5"/>
      <c r="F8" s="11">
        <f>$L$8*R6</f>
        <v>-565784.48471979983</v>
      </c>
      <c r="G8" s="11">
        <f>$L$8*S6</f>
        <v>-421665.27640858421</v>
      </c>
      <c r="H8" s="11">
        <f>$L$8*T6</f>
        <v>-473534.54159399407</v>
      </c>
      <c r="I8" s="11">
        <f>$L$8*U6</f>
        <v>-39015.697277621897</v>
      </c>
      <c r="J8" s="11"/>
      <c r="K8" s="11"/>
      <c r="L8" s="38">
        <v>-1500000</v>
      </c>
      <c r="M8" s="2">
        <f>SUM(F8:K8)</f>
        <v>-1500000</v>
      </c>
    </row>
    <row r="9" spans="4:22" x14ac:dyDescent="0.25">
      <c r="D9" s="19" t="s">
        <v>20</v>
      </c>
      <c r="E9" s="5"/>
      <c r="F9" s="11">
        <v>-195431</v>
      </c>
      <c r="G9" s="11">
        <v>-116276</v>
      </c>
      <c r="H9" s="11">
        <v>-117137</v>
      </c>
      <c r="I9" s="11">
        <v>-541156</v>
      </c>
      <c r="J9" s="11"/>
      <c r="K9" s="11"/>
      <c r="L9" s="18">
        <f>SUM(F9:K9)</f>
        <v>-970000</v>
      </c>
      <c r="M9" s="2">
        <f>SUM(F9:K9)</f>
        <v>-970000</v>
      </c>
      <c r="Q9" t="s">
        <v>42</v>
      </c>
    </row>
    <row r="10" spans="4:22" x14ac:dyDescent="0.25">
      <c r="D10" s="19" t="s">
        <v>30</v>
      </c>
      <c r="E10" s="5"/>
      <c r="F10" s="6">
        <f t="shared" ref="F10:M10" si="6">SUM(F5:F9)</f>
        <v>-504726.51831349055</v>
      </c>
      <c r="G10" s="7">
        <f t="shared" si="6"/>
        <v>-346786.35110335937</v>
      </c>
      <c r="H10" s="7">
        <f t="shared" si="6"/>
        <v>-376002.54940471676</v>
      </c>
      <c r="I10" s="7">
        <f t="shared" si="6"/>
        <v>-562484.58117843326</v>
      </c>
      <c r="J10" s="7">
        <f t="shared" si="6"/>
        <v>0</v>
      </c>
      <c r="K10" s="7">
        <f t="shared" si="6"/>
        <v>0</v>
      </c>
      <c r="L10" s="21">
        <f t="shared" si="6"/>
        <v>-1790000</v>
      </c>
      <c r="M10" s="8">
        <f t="shared" si="6"/>
        <v>-1790000</v>
      </c>
      <c r="Q10" t="s">
        <v>43</v>
      </c>
      <c r="S10" s="34">
        <v>90000000</v>
      </c>
    </row>
    <row r="11" spans="4:22" x14ac:dyDescent="0.25">
      <c r="D11" s="19"/>
      <c r="E11" s="5"/>
      <c r="F11" s="10"/>
      <c r="G11" s="10"/>
      <c r="H11" s="10"/>
      <c r="I11" s="10"/>
      <c r="J11" s="10"/>
      <c r="K11" s="10"/>
      <c r="L11" s="22"/>
      <c r="M11" s="8"/>
      <c r="Q11" t="s">
        <v>44</v>
      </c>
      <c r="S11" s="35">
        <v>0.3</v>
      </c>
    </row>
    <row r="12" spans="4:22" x14ac:dyDescent="0.25">
      <c r="D12" s="19" t="s">
        <v>37</v>
      </c>
      <c r="E12" s="5"/>
      <c r="F12" s="4">
        <f>-$J$12*R6</f>
        <v>-188594.82823993327</v>
      </c>
      <c r="G12" s="4">
        <f t="shared" ref="G12:I12" si="7">-$J$12*S6</f>
        <v>-140555.09213619475</v>
      </c>
      <c r="H12" s="4">
        <f t="shared" si="7"/>
        <v>-157844.84719799802</v>
      </c>
      <c r="I12" s="4">
        <f t="shared" si="7"/>
        <v>-13005.232425873966</v>
      </c>
      <c r="J12" s="4">
        <v>500000</v>
      </c>
      <c r="K12" s="4"/>
      <c r="L12" s="23">
        <f>SUM(F12:K12)</f>
        <v>0</v>
      </c>
      <c r="M12" s="8">
        <f>SUM(F12:L12)</f>
        <v>-5.8207660913467407E-11</v>
      </c>
      <c r="Q12" t="s">
        <v>45</v>
      </c>
      <c r="S12" s="35">
        <v>0.02</v>
      </c>
    </row>
    <row r="13" spans="4:22" x14ac:dyDescent="0.25">
      <c r="D13" s="19"/>
      <c r="E13" s="5"/>
      <c r="F13" s="11">
        <f>F10+F12</f>
        <v>-693321.34655342379</v>
      </c>
      <c r="G13" s="11">
        <f t="shared" ref="G13:L13" si="8">G10+G12</f>
        <v>-487341.44323955412</v>
      </c>
      <c r="H13" s="11">
        <f t="shared" si="8"/>
        <v>-533847.39660271478</v>
      </c>
      <c r="I13" s="11">
        <f t="shared" si="8"/>
        <v>-575489.81360430724</v>
      </c>
      <c r="J13" s="11">
        <f t="shared" si="8"/>
        <v>500000</v>
      </c>
      <c r="K13" s="11">
        <f t="shared" si="8"/>
        <v>0</v>
      </c>
      <c r="L13" s="18">
        <f t="shared" si="8"/>
        <v>-1790000</v>
      </c>
      <c r="S13" s="36">
        <f>S10*S11*S12</f>
        <v>540000</v>
      </c>
    </row>
    <row r="14" spans="4:22" x14ac:dyDescent="0.25">
      <c r="D14" s="19"/>
      <c r="E14" s="5"/>
      <c r="F14" s="11"/>
      <c r="G14" s="11"/>
      <c r="H14" s="11"/>
      <c r="I14" s="11"/>
      <c r="J14" s="11"/>
      <c r="K14" s="11"/>
      <c r="L14" s="18"/>
    </row>
    <row r="15" spans="4:22" x14ac:dyDescent="0.25">
      <c r="D15" s="17" t="s">
        <v>26</v>
      </c>
      <c r="E15" s="5"/>
      <c r="F15" s="11"/>
      <c r="G15" s="11"/>
      <c r="H15" s="11"/>
      <c r="I15" s="11"/>
      <c r="J15" s="11"/>
      <c r="K15" s="11"/>
      <c r="L15" s="18"/>
      <c r="P15" s="5"/>
    </row>
    <row r="16" spans="4:22" x14ac:dyDescent="0.25">
      <c r="D16" s="37" t="s">
        <v>27</v>
      </c>
      <c r="E16" s="5"/>
      <c r="F16" s="11"/>
      <c r="G16" s="11"/>
      <c r="H16" s="11"/>
      <c r="I16" s="11"/>
      <c r="J16" s="11"/>
      <c r="K16" s="11"/>
      <c r="L16" s="18"/>
      <c r="Q16" t="s">
        <v>40</v>
      </c>
    </row>
    <row r="17" spans="4:12" x14ac:dyDescent="0.25">
      <c r="D17" s="19"/>
      <c r="E17" s="5"/>
      <c r="F17" s="11"/>
      <c r="G17" s="11"/>
      <c r="H17" s="11"/>
      <c r="I17" s="11"/>
      <c r="J17" s="11"/>
      <c r="K17" s="11"/>
      <c r="L17" s="18"/>
    </row>
    <row r="18" spans="4:12" x14ac:dyDescent="0.25">
      <c r="D18" s="37" t="s">
        <v>28</v>
      </c>
      <c r="E18" s="5"/>
      <c r="F18" s="11"/>
      <c r="G18" s="11"/>
      <c r="H18" s="11"/>
      <c r="I18" s="11"/>
      <c r="J18" s="11"/>
      <c r="K18" s="11"/>
      <c r="L18" s="18"/>
    </row>
    <row r="19" spans="4:12" x14ac:dyDescent="0.25">
      <c r="D19" s="19"/>
      <c r="E19" s="5"/>
      <c r="F19" s="11"/>
      <c r="G19" s="11"/>
      <c r="H19" s="11"/>
      <c r="I19" s="11"/>
      <c r="J19" s="11"/>
      <c r="K19" s="11"/>
      <c r="L19" s="18"/>
    </row>
    <row r="20" spans="4:12" x14ac:dyDescent="0.25">
      <c r="D20" s="37" t="s">
        <v>29</v>
      </c>
      <c r="E20" s="5"/>
      <c r="F20" s="11"/>
      <c r="G20" s="11"/>
      <c r="H20" s="11"/>
      <c r="I20" s="11"/>
      <c r="J20" s="11"/>
      <c r="K20" s="11"/>
      <c r="L20" s="18"/>
    </row>
    <row r="21" spans="4:12" x14ac:dyDescent="0.25">
      <c r="D21" s="19"/>
      <c r="E21" s="5"/>
      <c r="F21" s="11"/>
      <c r="G21" s="11"/>
      <c r="H21" s="11"/>
      <c r="I21" s="11"/>
      <c r="J21" s="11"/>
      <c r="K21" s="11"/>
      <c r="L21" s="18"/>
    </row>
    <row r="22" spans="4:12" x14ac:dyDescent="0.25">
      <c r="D22" s="37" t="s">
        <v>46</v>
      </c>
      <c r="E22" s="5"/>
      <c r="F22" s="11"/>
      <c r="G22" s="11"/>
      <c r="H22" s="11"/>
      <c r="I22" s="11"/>
      <c r="J22" s="11"/>
      <c r="K22" s="11"/>
      <c r="L22" s="18"/>
    </row>
    <row r="23" spans="4:12" x14ac:dyDescent="0.25">
      <c r="D23" s="19"/>
      <c r="E23" s="5"/>
      <c r="F23" s="11"/>
      <c r="G23" s="11"/>
      <c r="H23" s="11"/>
      <c r="I23" s="11"/>
      <c r="J23" s="11"/>
      <c r="K23" s="11"/>
      <c r="L23" s="18"/>
    </row>
    <row r="24" spans="4:12" x14ac:dyDescent="0.25">
      <c r="D24" s="37" t="s">
        <v>31</v>
      </c>
      <c r="E24" s="5"/>
      <c r="F24" s="11"/>
      <c r="G24" s="11"/>
      <c r="H24" s="11"/>
      <c r="I24" s="11"/>
      <c r="J24" s="11"/>
      <c r="K24" s="11"/>
      <c r="L24" s="18"/>
    </row>
    <row r="25" spans="4:12" x14ac:dyDescent="0.25">
      <c r="D25" s="24"/>
      <c r="E25" s="5"/>
      <c r="F25" s="11"/>
      <c r="G25" s="11"/>
      <c r="H25" s="11"/>
      <c r="I25" s="11"/>
      <c r="J25" s="11"/>
      <c r="K25" s="11"/>
      <c r="L25" s="18"/>
    </row>
    <row r="26" spans="4:12" x14ac:dyDescent="0.25">
      <c r="D26" s="37" t="s">
        <v>39</v>
      </c>
      <c r="E26" s="5"/>
      <c r="F26" s="11"/>
      <c r="G26" s="11"/>
      <c r="H26" s="11"/>
      <c r="I26" s="11"/>
      <c r="J26" s="11"/>
      <c r="K26" s="11"/>
      <c r="L26" s="18"/>
    </row>
    <row r="27" spans="4:12" x14ac:dyDescent="0.25">
      <c r="D27" s="19"/>
      <c r="E27" s="5"/>
      <c r="F27" s="11"/>
      <c r="G27" s="11"/>
      <c r="H27" s="11"/>
      <c r="I27" s="11"/>
      <c r="J27" s="11"/>
      <c r="K27" s="11"/>
      <c r="L27" s="18"/>
    </row>
    <row r="28" spans="4:12" x14ac:dyDescent="0.25">
      <c r="D28" s="37" t="s">
        <v>38</v>
      </c>
      <c r="E28" s="5"/>
      <c r="F28" s="11"/>
      <c r="G28" s="11"/>
      <c r="H28" s="11"/>
      <c r="I28" s="11"/>
      <c r="J28" s="11"/>
      <c r="K28" s="11"/>
      <c r="L28" s="18"/>
    </row>
    <row r="29" spans="4:12" x14ac:dyDescent="0.25">
      <c r="D29" s="19"/>
      <c r="E29" s="5"/>
      <c r="F29" s="11"/>
      <c r="G29" s="11"/>
      <c r="H29" s="11"/>
      <c r="I29" s="11"/>
      <c r="J29" s="11"/>
      <c r="K29" s="11"/>
      <c r="L29" s="18"/>
    </row>
    <row r="30" spans="4:12" x14ac:dyDescent="0.25">
      <c r="D30" s="19"/>
      <c r="E30" s="5"/>
      <c r="F30" s="11"/>
      <c r="G30" s="11"/>
      <c r="H30" s="11"/>
      <c r="I30" s="11"/>
      <c r="J30" s="11"/>
      <c r="K30" s="11"/>
      <c r="L30" s="18"/>
    </row>
    <row r="31" spans="4:12" x14ac:dyDescent="0.25">
      <c r="D31" s="25" t="s">
        <v>35</v>
      </c>
      <c r="E31" s="5"/>
      <c r="F31" s="9" t="s">
        <v>0</v>
      </c>
      <c r="G31" s="9" t="s">
        <v>1</v>
      </c>
      <c r="H31" s="9" t="s">
        <v>2</v>
      </c>
      <c r="I31" s="9" t="s">
        <v>3</v>
      </c>
      <c r="J31" s="9" t="s">
        <v>4</v>
      </c>
      <c r="K31" s="9" t="s">
        <v>5</v>
      </c>
      <c r="L31" s="20" t="s">
        <v>7</v>
      </c>
    </row>
    <row r="32" spans="4:12" x14ac:dyDescent="0.25">
      <c r="D32" s="19"/>
      <c r="E32" s="5"/>
      <c r="F32" s="5"/>
      <c r="G32" s="5"/>
      <c r="H32" s="5"/>
      <c r="I32" s="5"/>
      <c r="J32" s="5"/>
      <c r="K32" s="5"/>
      <c r="L32" s="26"/>
    </row>
    <row r="33" spans="4:12" x14ac:dyDescent="0.25">
      <c r="D33" s="19" t="s">
        <v>6</v>
      </c>
      <c r="E33" s="5"/>
      <c r="F33" s="11">
        <v>125000</v>
      </c>
      <c r="G33" s="11"/>
      <c r="H33" s="11"/>
      <c r="I33" s="11"/>
      <c r="J33" s="11"/>
      <c r="K33" s="11"/>
      <c r="L33" s="18">
        <f t="shared" ref="L33:L36" si="9">SUM(F33:K33)</f>
        <v>125000</v>
      </c>
    </row>
    <row r="34" spans="4:12" x14ac:dyDescent="0.25">
      <c r="D34" s="19" t="s">
        <v>8</v>
      </c>
      <c r="E34" s="5"/>
      <c r="F34" s="11"/>
      <c r="G34" s="11">
        <v>397034</v>
      </c>
      <c r="H34" s="11"/>
      <c r="I34" s="11">
        <v>252420</v>
      </c>
      <c r="J34" s="11"/>
      <c r="K34" s="11"/>
      <c r="L34" s="18">
        <f t="shared" si="9"/>
        <v>649454</v>
      </c>
    </row>
    <row r="35" spans="4:12" x14ac:dyDescent="0.25">
      <c r="D35" s="19" t="s">
        <v>9</v>
      </c>
      <c r="E35" s="5"/>
      <c r="F35" s="11"/>
      <c r="G35" s="11"/>
      <c r="H35" s="11">
        <v>149481</v>
      </c>
      <c r="I35" s="11"/>
      <c r="J35" s="11"/>
      <c r="K35" s="11"/>
      <c r="L35" s="18">
        <f t="shared" si="9"/>
        <v>149481</v>
      </c>
    </row>
    <row r="36" spans="4:12" x14ac:dyDescent="0.25">
      <c r="D36" s="19" t="s">
        <v>10</v>
      </c>
      <c r="E36" s="5"/>
      <c r="F36" s="11"/>
      <c r="G36" s="11">
        <v>424824</v>
      </c>
      <c r="H36" s="11">
        <v>856057</v>
      </c>
      <c r="I36" s="11"/>
      <c r="J36" s="11"/>
      <c r="K36" s="11"/>
      <c r="L36" s="18">
        <f t="shared" si="9"/>
        <v>1280881</v>
      </c>
    </row>
    <row r="37" spans="4:12" x14ac:dyDescent="0.25">
      <c r="D37" s="19" t="s">
        <v>11</v>
      </c>
      <c r="E37" s="5"/>
      <c r="F37" s="11">
        <v>425000</v>
      </c>
      <c r="G37" s="11"/>
      <c r="H37" s="11"/>
      <c r="I37" s="11"/>
      <c r="J37" s="11"/>
      <c r="K37" s="11"/>
      <c r="L37" s="18">
        <f t="shared" ref="L37:L44" si="10">SUM(F37:K37)</f>
        <v>425000</v>
      </c>
    </row>
    <row r="38" spans="4:12" x14ac:dyDescent="0.25">
      <c r="D38" s="19" t="s">
        <v>12</v>
      </c>
      <c r="E38" s="5"/>
      <c r="F38" s="11"/>
      <c r="G38" s="11"/>
      <c r="H38" s="11">
        <v>162868</v>
      </c>
      <c r="I38" s="11"/>
      <c r="J38" s="11"/>
      <c r="K38" s="11"/>
      <c r="L38" s="18">
        <f t="shared" si="10"/>
        <v>162868</v>
      </c>
    </row>
    <row r="39" spans="4:12" x14ac:dyDescent="0.25">
      <c r="D39" s="19" t="s">
        <v>13</v>
      </c>
      <c r="E39" s="5"/>
      <c r="F39" s="11">
        <v>255000</v>
      </c>
      <c r="G39" s="11"/>
      <c r="H39" s="11"/>
      <c r="I39" s="11"/>
      <c r="J39" s="11"/>
      <c r="K39" s="11"/>
      <c r="L39" s="18">
        <f t="shared" si="10"/>
        <v>255000</v>
      </c>
    </row>
    <row r="40" spans="4:12" x14ac:dyDescent="0.25">
      <c r="D40" s="19" t="s">
        <v>14</v>
      </c>
      <c r="E40" s="5"/>
      <c r="F40" s="11">
        <v>350000</v>
      </c>
      <c r="G40" s="11">
        <v>300000</v>
      </c>
      <c r="H40" s="11">
        <v>290000</v>
      </c>
      <c r="I40" s="11"/>
      <c r="J40" s="11"/>
      <c r="K40" s="11"/>
      <c r="L40" s="18">
        <f t="shared" si="10"/>
        <v>940000</v>
      </c>
    </row>
    <row r="41" spans="4:12" x14ac:dyDescent="0.25">
      <c r="D41" s="19" t="s">
        <v>15</v>
      </c>
      <c r="E41" s="5"/>
      <c r="F41" s="11">
        <v>37948</v>
      </c>
      <c r="G41" s="11">
        <v>42042</v>
      </c>
      <c r="H41" s="11">
        <v>28815</v>
      </c>
      <c r="I41" s="11"/>
      <c r="J41" s="11"/>
      <c r="K41" s="11"/>
      <c r="L41" s="18">
        <f t="shared" si="10"/>
        <v>108805</v>
      </c>
    </row>
    <row r="42" spans="4:12" x14ac:dyDescent="0.25">
      <c r="D42" s="19" t="s">
        <v>16</v>
      </c>
      <c r="E42" s="5"/>
      <c r="F42" s="11">
        <v>50006</v>
      </c>
      <c r="G42" s="11">
        <v>30875</v>
      </c>
      <c r="H42" s="11">
        <v>43837</v>
      </c>
      <c r="I42" s="11">
        <v>4873</v>
      </c>
      <c r="J42" s="11"/>
      <c r="K42" s="11"/>
      <c r="L42" s="18">
        <f t="shared" si="10"/>
        <v>129591</v>
      </c>
    </row>
    <row r="43" spans="4:12" x14ac:dyDescent="0.25">
      <c r="D43" s="19" t="s">
        <v>17</v>
      </c>
      <c r="E43" s="5"/>
      <c r="F43" s="4"/>
      <c r="G43" s="4">
        <v>110338</v>
      </c>
      <c r="H43" s="4">
        <v>150000</v>
      </c>
      <c r="I43" s="4"/>
      <c r="J43" s="4"/>
      <c r="K43" s="4"/>
      <c r="L43" s="23">
        <f t="shared" si="10"/>
        <v>260338</v>
      </c>
    </row>
    <row r="44" spans="4:12" x14ac:dyDescent="0.25">
      <c r="D44" s="19"/>
      <c r="E44" s="5"/>
      <c r="F44" s="27">
        <f>SUM(F33:F43)</f>
        <v>1242954</v>
      </c>
      <c r="G44" s="27">
        <f t="shared" ref="G44:K44" si="11">SUM(G33:G43)</f>
        <v>1305113</v>
      </c>
      <c r="H44" s="27">
        <f t="shared" si="11"/>
        <v>1681058</v>
      </c>
      <c r="I44" s="27">
        <f t="shared" si="11"/>
        <v>257293</v>
      </c>
      <c r="J44" s="27">
        <f t="shared" si="11"/>
        <v>0</v>
      </c>
      <c r="K44" s="27">
        <f t="shared" si="11"/>
        <v>0</v>
      </c>
      <c r="L44" s="28">
        <f t="shared" si="10"/>
        <v>4486418</v>
      </c>
    </row>
    <row r="45" spans="4:12" x14ac:dyDescent="0.25">
      <c r="D45" s="17" t="s">
        <v>32</v>
      </c>
      <c r="E45" s="5"/>
      <c r="F45" s="11"/>
      <c r="G45" s="11"/>
      <c r="H45" s="11"/>
      <c r="I45" s="11"/>
      <c r="J45" s="11"/>
      <c r="K45" s="11"/>
      <c r="L45" s="18"/>
    </row>
    <row r="46" spans="4:12" x14ac:dyDescent="0.25">
      <c r="D46" s="19" t="s">
        <v>22</v>
      </c>
      <c r="E46" s="5"/>
      <c r="F46" s="11"/>
      <c r="G46" s="11"/>
      <c r="H46" s="11"/>
      <c r="I46" s="11"/>
      <c r="J46" s="11"/>
      <c r="K46" s="11"/>
      <c r="L46" s="18"/>
    </row>
    <row r="47" spans="4:12" x14ac:dyDescent="0.25">
      <c r="D47" s="19" t="s">
        <v>23</v>
      </c>
      <c r="E47" s="5"/>
      <c r="F47" s="11"/>
      <c r="G47" s="11"/>
      <c r="H47" s="11"/>
      <c r="I47" s="11"/>
      <c r="J47" s="11"/>
      <c r="K47" s="11"/>
      <c r="L47" s="18"/>
    </row>
    <row r="48" spans="4:12" x14ac:dyDescent="0.25">
      <c r="D48" s="19" t="s">
        <v>36</v>
      </c>
      <c r="E48" s="5"/>
      <c r="F48" s="11"/>
      <c r="G48" s="11"/>
      <c r="H48" s="11"/>
      <c r="I48" s="11"/>
      <c r="J48" s="11"/>
      <c r="K48" s="11"/>
      <c r="L48" s="18"/>
    </row>
    <row r="49" spans="4:13" x14ac:dyDescent="0.25">
      <c r="D49" s="19" t="s">
        <v>33</v>
      </c>
      <c r="E49" s="5"/>
      <c r="F49" s="11"/>
      <c r="G49" s="11"/>
      <c r="H49" s="11"/>
      <c r="I49" s="11"/>
      <c r="J49" s="11"/>
      <c r="K49" s="11"/>
      <c r="L49" s="18"/>
    </row>
    <row r="50" spans="4:13" x14ac:dyDescent="0.25">
      <c r="D50" s="19" t="s">
        <v>34</v>
      </c>
      <c r="E50" s="5"/>
      <c r="F50" s="11"/>
      <c r="G50" s="11"/>
      <c r="H50" s="11"/>
      <c r="I50" s="11"/>
      <c r="J50" s="11"/>
      <c r="K50" s="11"/>
      <c r="L50" s="18"/>
    </row>
    <row r="51" spans="4:13" ht="15.75" thickBot="1" x14ac:dyDescent="0.3">
      <c r="D51" s="29" t="s">
        <v>12</v>
      </c>
      <c r="E51" s="30"/>
      <c r="F51" s="31"/>
      <c r="G51" s="31"/>
      <c r="H51" s="31">
        <v>389000</v>
      </c>
      <c r="I51" s="31"/>
      <c r="J51" s="31"/>
      <c r="K51" s="31"/>
      <c r="L51" s="32">
        <f>SUM(F51:K51)</f>
        <v>389000</v>
      </c>
      <c r="M51" s="12">
        <f>SUM(F51:K51)</f>
        <v>389000</v>
      </c>
    </row>
    <row r="52" spans="4:13" x14ac:dyDescent="0.25">
      <c r="F52" s="1"/>
      <c r="G52" s="1"/>
      <c r="H52" s="1"/>
      <c r="I52" s="1"/>
      <c r="J52" s="1"/>
      <c r="K52" s="1"/>
      <c r="L52" s="1"/>
    </row>
    <row r="53" spans="4:13" x14ac:dyDescent="0.25">
      <c r="F53" s="1"/>
      <c r="G53" s="1"/>
      <c r="H53" s="1"/>
      <c r="I53" s="1"/>
      <c r="J53" s="1"/>
      <c r="K53" s="1"/>
      <c r="L53" s="1"/>
    </row>
    <row r="54" spans="4:13" x14ac:dyDescent="0.25">
      <c r="F54" s="1"/>
      <c r="G54" s="1"/>
      <c r="H54" s="1"/>
      <c r="I54" s="1"/>
      <c r="J54" s="1"/>
      <c r="K54" s="1"/>
      <c r="L54" s="1"/>
    </row>
    <row r="55" spans="4:13" x14ac:dyDescent="0.25">
      <c r="F55" s="1"/>
      <c r="G55" s="1"/>
      <c r="H55" s="1"/>
      <c r="I55" s="1"/>
      <c r="J55" s="1"/>
      <c r="K55" s="1"/>
      <c r="L55" s="1"/>
    </row>
    <row r="56" spans="4:13" x14ac:dyDescent="0.25">
      <c r="F56" s="1"/>
      <c r="G56" s="1"/>
      <c r="H56" s="1"/>
      <c r="I56" s="1"/>
      <c r="J56" s="1"/>
      <c r="K56" s="1"/>
      <c r="L56" s="1"/>
    </row>
    <row r="57" spans="4:13" x14ac:dyDescent="0.25">
      <c r="F57" s="1"/>
      <c r="G57" s="1"/>
      <c r="H57" s="1"/>
      <c r="I57" s="1"/>
      <c r="J57" s="1"/>
      <c r="K57" s="1"/>
      <c r="L57" s="1"/>
    </row>
    <row r="58" spans="4:13" x14ac:dyDescent="0.25">
      <c r="F58" s="1"/>
      <c r="G58" s="1"/>
      <c r="H58" s="1"/>
      <c r="I58" s="1"/>
      <c r="J58" s="1"/>
      <c r="K58" s="1"/>
      <c r="L58" s="1"/>
    </row>
    <row r="59" spans="4:13" x14ac:dyDescent="0.25">
      <c r="F59" s="1"/>
      <c r="G59" s="1"/>
      <c r="H59" s="1"/>
      <c r="I59" s="1"/>
      <c r="J59" s="1"/>
      <c r="K59" s="1"/>
      <c r="L59" s="1"/>
    </row>
    <row r="60" spans="4:13" x14ac:dyDescent="0.25">
      <c r="F60" s="1"/>
      <c r="G60" s="1"/>
      <c r="H60" s="1"/>
      <c r="I60" s="1"/>
      <c r="J60" s="1"/>
      <c r="K60" s="1"/>
      <c r="L60" s="1"/>
    </row>
    <row r="61" spans="4:13" x14ac:dyDescent="0.25">
      <c r="F61" s="1"/>
      <c r="G61" s="1"/>
      <c r="H61" s="1"/>
      <c r="I61" s="1"/>
      <c r="J61" s="1"/>
      <c r="K61" s="1"/>
      <c r="L61" s="1"/>
    </row>
    <row r="62" spans="4:13" x14ac:dyDescent="0.25">
      <c r="F62" s="1"/>
      <c r="G62" s="1"/>
      <c r="H62" s="1"/>
      <c r="I62" s="1"/>
      <c r="J62" s="1"/>
      <c r="K62" s="1"/>
      <c r="L62" s="1"/>
    </row>
    <row r="63" spans="4:13" x14ac:dyDescent="0.25">
      <c r="F63" s="1"/>
      <c r="G63" s="1"/>
      <c r="H63" s="1"/>
      <c r="I63" s="1"/>
      <c r="J63" s="1"/>
      <c r="K63" s="1"/>
      <c r="L63" s="1"/>
    </row>
    <row r="64" spans="4:13" x14ac:dyDescent="0.25">
      <c r="F64" s="1"/>
      <c r="G64" s="1"/>
      <c r="H64" s="1"/>
      <c r="I64" s="1"/>
      <c r="J64" s="1"/>
      <c r="K64" s="1"/>
      <c r="L64" s="1"/>
    </row>
    <row r="65" spans="6:12" x14ac:dyDescent="0.25">
      <c r="F65" s="1"/>
      <c r="G65" s="1"/>
      <c r="H65" s="1"/>
      <c r="I65" s="1"/>
      <c r="J65" s="1"/>
      <c r="K65" s="1"/>
      <c r="L65" s="1"/>
    </row>
    <row r="66" spans="6:12" x14ac:dyDescent="0.25">
      <c r="F66" s="1"/>
      <c r="G66" s="1"/>
      <c r="H66" s="1"/>
      <c r="I66" s="1"/>
      <c r="J66" s="1"/>
      <c r="K66" s="1"/>
      <c r="L66" s="1"/>
    </row>
    <row r="67" spans="6:12" x14ac:dyDescent="0.25">
      <c r="F67" s="1"/>
      <c r="G67" s="1"/>
      <c r="H67" s="1"/>
      <c r="I67" s="1"/>
      <c r="J67" s="1"/>
      <c r="K67" s="1"/>
      <c r="L67" s="1"/>
    </row>
    <row r="68" spans="6:12" x14ac:dyDescent="0.25">
      <c r="F68" s="1"/>
      <c r="G68" s="1"/>
      <c r="H68" s="1"/>
      <c r="I68" s="1"/>
      <c r="J68" s="1"/>
      <c r="K68" s="1"/>
      <c r="L68" s="1"/>
    </row>
    <row r="69" spans="6:12" x14ac:dyDescent="0.25">
      <c r="F69" s="1"/>
      <c r="G69" s="1"/>
      <c r="H69" s="1"/>
      <c r="I69" s="1"/>
      <c r="J69" s="1"/>
      <c r="K69" s="1"/>
      <c r="L69" s="1"/>
    </row>
    <row r="70" spans="6:12" x14ac:dyDescent="0.25">
      <c r="F70" s="1"/>
      <c r="G70" s="1"/>
      <c r="H70" s="1"/>
      <c r="I70" s="1"/>
      <c r="J70" s="1"/>
      <c r="K70" s="1"/>
      <c r="L70" s="1"/>
    </row>
    <row r="71" spans="6:12" x14ac:dyDescent="0.25">
      <c r="F71" s="1"/>
      <c r="G71" s="1"/>
      <c r="H71" s="1"/>
      <c r="I71" s="1"/>
      <c r="J71" s="1"/>
      <c r="K71" s="1"/>
      <c r="L71" s="1"/>
    </row>
    <row r="72" spans="6:12" x14ac:dyDescent="0.25">
      <c r="F72" s="1"/>
      <c r="G72" s="1"/>
      <c r="H72" s="1"/>
      <c r="I72" s="1"/>
      <c r="J72" s="1"/>
      <c r="K72" s="1"/>
      <c r="L72" s="1"/>
    </row>
    <row r="73" spans="6:12" x14ac:dyDescent="0.25">
      <c r="F73" s="1"/>
      <c r="G73" s="1"/>
      <c r="H73" s="1"/>
      <c r="I73" s="1"/>
      <c r="J73" s="1"/>
      <c r="K73" s="1"/>
      <c r="L73" s="1"/>
    </row>
    <row r="74" spans="6:12" x14ac:dyDescent="0.25">
      <c r="F74" s="1"/>
      <c r="G74" s="1"/>
      <c r="H74" s="1"/>
      <c r="I74" s="1"/>
      <c r="J74" s="1"/>
      <c r="K74" s="1"/>
      <c r="L74" s="1"/>
    </row>
    <row r="75" spans="6:12" x14ac:dyDescent="0.25">
      <c r="F75" s="1"/>
      <c r="G75" s="1"/>
      <c r="H75" s="1"/>
      <c r="I75" s="1"/>
      <c r="J75" s="1"/>
      <c r="K75" s="1"/>
      <c r="L75" s="1"/>
    </row>
    <row r="76" spans="6:12" x14ac:dyDescent="0.25">
      <c r="F76" s="1"/>
      <c r="G76" s="1"/>
      <c r="H76" s="1"/>
      <c r="I76" s="1"/>
      <c r="J76" s="1"/>
      <c r="K76" s="1"/>
      <c r="L76" s="1"/>
    </row>
    <row r="77" spans="6:12" x14ac:dyDescent="0.25">
      <c r="F77" s="1"/>
      <c r="G77" s="1"/>
      <c r="H77" s="1"/>
      <c r="I77" s="1"/>
      <c r="J77" s="1"/>
      <c r="K77" s="1"/>
      <c r="L77" s="1"/>
    </row>
    <row r="78" spans="6:12" x14ac:dyDescent="0.25">
      <c r="F78" s="1"/>
      <c r="G78" s="1"/>
      <c r="H78" s="1"/>
      <c r="I78" s="1"/>
      <c r="J78" s="1"/>
      <c r="K78" s="1"/>
      <c r="L78" s="1"/>
    </row>
    <row r="79" spans="6:12" x14ac:dyDescent="0.25">
      <c r="F79" s="1"/>
      <c r="G79" s="1"/>
      <c r="H79" s="1"/>
      <c r="I79" s="1"/>
      <c r="J79" s="1"/>
      <c r="K79" s="1"/>
      <c r="L79" s="1"/>
    </row>
    <row r="80" spans="6:12" x14ac:dyDescent="0.25">
      <c r="F80" s="1"/>
      <c r="G80" s="1"/>
      <c r="H80" s="1"/>
      <c r="I80" s="1"/>
      <c r="J80" s="1"/>
      <c r="K80" s="1"/>
      <c r="L80" s="1"/>
    </row>
    <row r="81" spans="6:12" x14ac:dyDescent="0.25">
      <c r="F81" s="1"/>
      <c r="G81" s="1"/>
      <c r="H81" s="1"/>
      <c r="I81" s="1"/>
      <c r="J81" s="1"/>
      <c r="K81" s="1"/>
      <c r="L81" s="1"/>
    </row>
  </sheetData>
  <pageMargins left="0.7" right="0.7" top="0.75" bottom="0.75" header="0.3" footer="0.3"/>
  <pageSetup scale="74" orientation="portrait" r:id="rId1"/>
  <headerFooter>
    <oddFooter>&amp;C&amp;Z&amp;F Printed: &amp;D</oddFooter>
  </headerFooter>
  <rowBreaks count="1" manualBreakCount="1">
    <brk id="29" min="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V84"/>
  <sheetViews>
    <sheetView workbookViewId="0">
      <selection activeCell="D8" sqref="D8"/>
    </sheetView>
  </sheetViews>
  <sheetFormatPr defaultRowHeight="15" x14ac:dyDescent="0.25"/>
  <cols>
    <col min="4" max="4" width="32.42578125" bestFit="1" customWidth="1"/>
    <col min="6" max="6" width="11.28515625" bestFit="1" customWidth="1"/>
    <col min="7" max="8" width="10.5703125" bestFit="1" customWidth="1"/>
    <col min="9" max="9" width="9.7109375" bestFit="1" customWidth="1"/>
    <col min="10" max="10" width="13.5703125" customWidth="1"/>
    <col min="11" max="11" width="13" customWidth="1"/>
    <col min="12" max="12" width="11.5703125" bestFit="1" customWidth="1"/>
    <col min="13" max="13" width="11.28515625" bestFit="1" customWidth="1"/>
    <col min="16" max="16" width="11.28515625" bestFit="1" customWidth="1"/>
    <col min="19" max="19" width="15.28515625" bestFit="1" customWidth="1"/>
  </cols>
  <sheetData>
    <row r="1" spans="4:22" ht="15.75" thickBot="1" x14ac:dyDescent="0.3">
      <c r="F1" s="1"/>
      <c r="G1" s="1"/>
      <c r="H1" s="1"/>
      <c r="I1" s="1"/>
      <c r="J1" s="1"/>
      <c r="K1" s="1"/>
      <c r="L1" s="1">
        <f t="shared" ref="L1" si="0">SUM(F1:K1)</f>
        <v>0</v>
      </c>
    </row>
    <row r="2" spans="4:22" x14ac:dyDescent="0.25">
      <c r="D2" s="13" t="s">
        <v>47</v>
      </c>
      <c r="E2" s="14"/>
      <c r="F2" s="15"/>
      <c r="G2" s="15"/>
      <c r="H2" s="15"/>
      <c r="I2" s="15"/>
      <c r="J2" s="15"/>
      <c r="K2" s="15"/>
      <c r="L2" s="16"/>
    </row>
    <row r="3" spans="4:22" x14ac:dyDescent="0.25">
      <c r="D3" s="33">
        <v>42816</v>
      </c>
      <c r="E3" s="5"/>
      <c r="F3" s="11"/>
      <c r="G3" s="11"/>
      <c r="H3" s="11"/>
      <c r="I3" s="11"/>
      <c r="J3" s="11"/>
      <c r="K3" s="11"/>
      <c r="L3" s="18"/>
    </row>
    <row r="4" spans="4:22" x14ac:dyDescent="0.25">
      <c r="D4" s="19"/>
      <c r="E4" s="5"/>
      <c r="F4" s="9" t="s">
        <v>0</v>
      </c>
      <c r="G4" s="9" t="s">
        <v>1</v>
      </c>
      <c r="H4" s="9" t="s">
        <v>2</v>
      </c>
      <c r="I4" s="9" t="s">
        <v>3</v>
      </c>
      <c r="J4" s="9" t="s">
        <v>4</v>
      </c>
      <c r="K4" s="9" t="s">
        <v>5</v>
      </c>
      <c r="L4" s="20" t="s">
        <v>7</v>
      </c>
      <c r="M4" t="s">
        <v>25</v>
      </c>
      <c r="R4" t="s">
        <v>0</v>
      </c>
      <c r="S4" t="s">
        <v>1</v>
      </c>
      <c r="T4" t="s">
        <v>2</v>
      </c>
      <c r="U4" t="s">
        <v>3</v>
      </c>
    </row>
    <row r="5" spans="4:22" x14ac:dyDescent="0.25">
      <c r="D5" s="19" t="s">
        <v>48</v>
      </c>
      <c r="E5" s="5"/>
      <c r="F5" s="11">
        <f>$L$5*R6</f>
        <v>40811.920831121555</v>
      </c>
      <c r="G5" s="11">
        <f>$L$5*S6</f>
        <v>30416.121938272543</v>
      </c>
      <c r="H5" s="11">
        <f>$L$5*T6</f>
        <v>34157.624933646774</v>
      </c>
      <c r="I5" s="11">
        <f>$L$5*U6</f>
        <v>2814.3322969591263</v>
      </c>
      <c r="J5" s="11"/>
      <c r="K5" s="11"/>
      <c r="L5" s="18">
        <f>(379000+703000)*0.1</f>
        <v>108200</v>
      </c>
      <c r="M5" s="2">
        <f t="shared" ref="M5:M6" si="1">SUM(F5:K5)</f>
        <v>108200</v>
      </c>
      <c r="Q5" t="s">
        <v>24</v>
      </c>
      <c r="R5">
        <v>4974</v>
      </c>
      <c r="S5">
        <v>3707</v>
      </c>
      <c r="T5">
        <v>4163</v>
      </c>
      <c r="U5">
        <v>343</v>
      </c>
      <c r="V5">
        <f>SUM(R5:U5)</f>
        <v>13187</v>
      </c>
    </row>
    <row r="6" spans="4:22" x14ac:dyDescent="0.25">
      <c r="D6" s="19" t="s">
        <v>49</v>
      </c>
      <c r="E6" s="5"/>
      <c r="F6" s="11">
        <f>$L$6*R6</f>
        <v>10749.905209676195</v>
      </c>
      <c r="G6" s="11">
        <f t="shared" ref="G6:I6" si="2">$L$6*S6</f>
        <v>8011.6402517631004</v>
      </c>
      <c r="H6" s="11">
        <f t="shared" si="2"/>
        <v>8997.1562902858877</v>
      </c>
      <c r="I6" s="11">
        <f t="shared" si="2"/>
        <v>741.29824827481605</v>
      </c>
      <c r="J6" s="11"/>
      <c r="K6" s="11"/>
      <c r="L6" s="18">
        <f>285000*0.1</f>
        <v>28500</v>
      </c>
      <c r="M6" s="2">
        <f t="shared" si="1"/>
        <v>28499.999999999996</v>
      </c>
      <c r="R6" s="3">
        <f>R5/$V$5</f>
        <v>0.37718965647986652</v>
      </c>
      <c r="S6" s="3">
        <f>S5/$V$5</f>
        <v>0.28111018427238949</v>
      </c>
      <c r="T6" s="3">
        <f>T5/$V$5</f>
        <v>0.31568969439599603</v>
      </c>
      <c r="U6" s="3">
        <f>U5/$V$5</f>
        <v>2.6010464851747933E-2</v>
      </c>
      <c r="V6" s="3">
        <f>V5/$V$5</f>
        <v>1</v>
      </c>
    </row>
    <row r="7" spans="4:22" x14ac:dyDescent="0.25">
      <c r="D7" s="19" t="s">
        <v>21</v>
      </c>
      <c r="E7" s="5"/>
      <c r="F7" s="11">
        <f>$L$7*R6</f>
        <v>-565784.48471979983</v>
      </c>
      <c r="G7" s="11">
        <f>$L$7*S6</f>
        <v>-421665.27640858421</v>
      </c>
      <c r="H7" s="11">
        <f>$L$7*T6</f>
        <v>-473534.54159399407</v>
      </c>
      <c r="I7" s="11">
        <f>$L$7*U6</f>
        <v>-39015.697277621897</v>
      </c>
      <c r="J7" s="11"/>
      <c r="K7" s="11"/>
      <c r="L7" s="38">
        <v>-1500000</v>
      </c>
      <c r="M7" s="2">
        <f>SUM(F7:K7)</f>
        <v>-1500000</v>
      </c>
    </row>
    <row r="8" spans="4:22" x14ac:dyDescent="0.25">
      <c r="D8" s="19" t="s">
        <v>50</v>
      </c>
      <c r="E8" s="5"/>
      <c r="F8" s="11">
        <f>$L$8*R6</f>
        <v>-150724.98672935466</v>
      </c>
      <c r="G8" s="11">
        <f t="shared" ref="G8:I8" si="3">$L$8*S6</f>
        <v>-112331.62963524683</v>
      </c>
      <c r="H8" s="11">
        <f t="shared" si="3"/>
        <v>-126149.60188064001</v>
      </c>
      <c r="I8" s="11">
        <f t="shared" si="3"/>
        <v>-10393.781754758475</v>
      </c>
      <c r="J8" s="11"/>
      <c r="K8" s="11"/>
      <c r="L8" s="38">
        <f>-3996000*0.1</f>
        <v>-399600</v>
      </c>
      <c r="M8" s="2">
        <f>SUM(F8:K8)</f>
        <v>-399600</v>
      </c>
    </row>
    <row r="9" spans="4:22" x14ac:dyDescent="0.25">
      <c r="D9" s="19" t="s">
        <v>20</v>
      </c>
      <c r="E9" s="5"/>
      <c r="F9" s="11">
        <v>-195431</v>
      </c>
      <c r="G9" s="11">
        <v>-116276</v>
      </c>
      <c r="H9" s="11">
        <v>-117137</v>
      </c>
      <c r="I9" s="11">
        <v>-541156</v>
      </c>
      <c r="J9" s="11"/>
      <c r="K9" s="11"/>
      <c r="L9" s="18">
        <f>SUM(F9:K9)</f>
        <v>-970000</v>
      </c>
      <c r="M9" s="2">
        <f>SUM(F9:K9)</f>
        <v>-970000</v>
      </c>
      <c r="Q9" t="s">
        <v>42</v>
      </c>
    </row>
    <row r="10" spans="4:22" x14ac:dyDescent="0.25">
      <c r="D10" s="19" t="s">
        <v>30</v>
      </c>
      <c r="E10" s="5"/>
      <c r="F10" s="6">
        <f t="shared" ref="F10:M10" si="4">SUM(F5:F9)</f>
        <v>-860378.6454083568</v>
      </c>
      <c r="G10" s="7">
        <f t="shared" si="4"/>
        <v>-611845.14385379537</v>
      </c>
      <c r="H10" s="7">
        <f t="shared" si="4"/>
        <v>-673666.36225070141</v>
      </c>
      <c r="I10" s="7">
        <f t="shared" si="4"/>
        <v>-587009.84848714643</v>
      </c>
      <c r="J10" s="7">
        <f t="shared" si="4"/>
        <v>0</v>
      </c>
      <c r="K10" s="7">
        <f t="shared" si="4"/>
        <v>0</v>
      </c>
      <c r="L10" s="21">
        <f t="shared" si="4"/>
        <v>-2732900</v>
      </c>
      <c r="M10" s="8">
        <f t="shared" si="4"/>
        <v>-2732900</v>
      </c>
      <c r="Q10" t="s">
        <v>43</v>
      </c>
      <c r="S10" s="34">
        <v>90000000</v>
      </c>
    </row>
    <row r="11" spans="4:22" x14ac:dyDescent="0.25">
      <c r="D11" s="19"/>
      <c r="E11" s="5"/>
      <c r="F11" s="10"/>
      <c r="G11" s="10"/>
      <c r="H11" s="10"/>
      <c r="I11" s="10"/>
      <c r="J11" s="10"/>
      <c r="K11" s="10"/>
      <c r="L11" s="22"/>
      <c r="M11" s="8"/>
      <c r="Q11" t="s">
        <v>44</v>
      </c>
      <c r="S11" s="35">
        <v>0.3</v>
      </c>
    </row>
    <row r="12" spans="4:22" x14ac:dyDescent="0.25">
      <c r="D12" s="19" t="s">
        <v>51</v>
      </c>
      <c r="E12" s="5"/>
      <c r="F12" s="10"/>
      <c r="G12" s="10"/>
      <c r="H12" s="10">
        <f>L12</f>
        <v>-164000</v>
      </c>
      <c r="I12" s="10"/>
      <c r="J12" s="10"/>
      <c r="K12" s="10"/>
      <c r="L12" s="22">
        <v>-164000</v>
      </c>
      <c r="M12" s="8"/>
      <c r="S12" s="35"/>
    </row>
    <row r="13" spans="4:22" x14ac:dyDescent="0.25">
      <c r="D13" s="19" t="s">
        <v>37</v>
      </c>
      <c r="E13" s="5"/>
      <c r="F13" s="4">
        <f>-$J$13*R6</f>
        <v>-188594.82823993327</v>
      </c>
      <c r="G13" s="4">
        <f>-$J$13*S6</f>
        <v>-140555.09213619475</v>
      </c>
      <c r="H13" s="4">
        <f>-$J$13*T6</f>
        <v>-157844.84719799802</v>
      </c>
      <c r="I13" s="4">
        <f>-$J$13*U6</f>
        <v>-13005.232425873966</v>
      </c>
      <c r="J13" s="4">
        <v>500000</v>
      </c>
      <c r="K13" s="4"/>
      <c r="L13" s="23">
        <f>SUM(F13:K13)</f>
        <v>0</v>
      </c>
      <c r="M13" s="8">
        <f>SUM(F13:L13)</f>
        <v>-5.8207660913467407E-11</v>
      </c>
      <c r="Q13" t="s">
        <v>45</v>
      </c>
      <c r="S13" s="35">
        <v>0.02</v>
      </c>
    </row>
    <row r="14" spans="4:22" x14ac:dyDescent="0.25">
      <c r="D14" s="19"/>
      <c r="E14" s="5"/>
      <c r="F14" s="11">
        <f t="shared" ref="F14:G14" si="5">SUM(F10:F13)</f>
        <v>-1048973.4736482901</v>
      </c>
      <c r="G14" s="11">
        <f t="shared" si="5"/>
        <v>-752400.23598999018</v>
      </c>
      <c r="H14" s="11">
        <f>SUM(H10:H13)</f>
        <v>-995511.20944869937</v>
      </c>
      <c r="I14" s="11">
        <f t="shared" ref="I14:J14" si="6">SUM(I10:I13)</f>
        <v>-600015.08091302041</v>
      </c>
      <c r="J14" s="11">
        <f t="shared" si="6"/>
        <v>500000</v>
      </c>
      <c r="K14" s="11">
        <f t="shared" ref="K14" si="7">K10+K13</f>
        <v>0</v>
      </c>
      <c r="L14" s="18">
        <f>SUM(L10:L13)</f>
        <v>-2896900</v>
      </c>
      <c r="S14" s="36">
        <f>S10*S11*S13</f>
        <v>540000</v>
      </c>
    </row>
    <row r="15" spans="4:22" x14ac:dyDescent="0.25">
      <c r="D15" s="19"/>
      <c r="E15" s="5"/>
      <c r="F15" s="11"/>
      <c r="G15" s="11"/>
      <c r="H15" s="11"/>
      <c r="I15" s="11"/>
      <c r="J15" s="11"/>
      <c r="K15" s="11"/>
      <c r="L15" s="18"/>
    </row>
    <row r="16" spans="4:22" x14ac:dyDescent="0.25">
      <c r="D16" s="17" t="s">
        <v>26</v>
      </c>
      <c r="E16" s="5"/>
      <c r="F16" s="11"/>
      <c r="G16" s="11"/>
      <c r="H16" s="11"/>
      <c r="I16" s="11"/>
      <c r="J16" s="11"/>
      <c r="K16" s="11"/>
      <c r="L16" s="18"/>
      <c r="P16" s="5"/>
    </row>
    <row r="17" spans="4:17" x14ac:dyDescent="0.25">
      <c r="D17" s="37" t="s">
        <v>52</v>
      </c>
      <c r="E17" s="5"/>
      <c r="F17" s="11"/>
      <c r="G17" s="11"/>
      <c r="H17" s="11"/>
      <c r="I17" s="11"/>
      <c r="J17" s="11"/>
      <c r="K17" s="11"/>
      <c r="L17" s="18"/>
      <c r="Q17" t="s">
        <v>40</v>
      </c>
    </row>
    <row r="18" spans="4:17" x14ac:dyDescent="0.25">
      <c r="D18" s="19"/>
      <c r="E18" s="5"/>
      <c r="F18" s="11"/>
      <c r="G18" s="11"/>
      <c r="H18" s="11"/>
      <c r="I18" s="11"/>
      <c r="J18" s="11"/>
      <c r="K18" s="11"/>
      <c r="L18" s="18"/>
    </row>
    <row r="19" spans="4:17" x14ac:dyDescent="0.25">
      <c r="D19" s="37" t="s">
        <v>28</v>
      </c>
      <c r="E19" s="5"/>
      <c r="F19" s="11"/>
      <c r="G19" s="11"/>
      <c r="H19" s="11"/>
      <c r="I19" s="11"/>
      <c r="J19" s="11"/>
      <c r="K19" s="11"/>
      <c r="L19" s="18"/>
    </row>
    <row r="20" spans="4:17" x14ac:dyDescent="0.25">
      <c r="D20" s="19"/>
      <c r="E20" s="5"/>
      <c r="F20" s="11"/>
      <c r="G20" s="11"/>
      <c r="H20" s="11"/>
      <c r="I20" s="11"/>
      <c r="J20" s="11"/>
      <c r="K20" s="11"/>
      <c r="L20" s="18"/>
      <c r="P20" s="2"/>
    </row>
    <row r="21" spans="4:17" x14ac:dyDescent="0.25">
      <c r="D21" s="37" t="s">
        <v>29</v>
      </c>
      <c r="E21" s="5"/>
      <c r="F21" s="11"/>
      <c r="G21" s="11"/>
      <c r="H21" s="11"/>
      <c r="I21" s="11"/>
      <c r="J21" s="11"/>
      <c r="K21" s="11"/>
      <c r="L21" s="18"/>
      <c r="P21" s="2"/>
    </row>
    <row r="22" spans="4:17" x14ac:dyDescent="0.25">
      <c r="D22" s="19"/>
      <c r="E22" s="5"/>
      <c r="F22" s="11"/>
      <c r="G22" s="11"/>
      <c r="H22" s="11"/>
      <c r="I22" s="11"/>
      <c r="J22" s="11"/>
      <c r="K22" s="11"/>
      <c r="L22" s="18"/>
      <c r="P22" s="2"/>
    </row>
    <row r="23" spans="4:17" x14ac:dyDescent="0.25">
      <c r="D23" s="37" t="s">
        <v>46</v>
      </c>
      <c r="E23" s="5"/>
      <c r="F23" s="11"/>
      <c r="G23" s="11"/>
      <c r="H23" s="11"/>
      <c r="I23" s="11"/>
      <c r="J23" s="11"/>
      <c r="K23" s="11"/>
      <c r="L23" s="18"/>
    </row>
    <row r="24" spans="4:17" x14ac:dyDescent="0.25">
      <c r="D24" s="19"/>
      <c r="E24" s="5"/>
      <c r="F24" s="11"/>
      <c r="G24" s="11"/>
      <c r="H24" s="11"/>
      <c r="I24" s="11"/>
      <c r="J24" s="11"/>
      <c r="K24" s="11"/>
      <c r="L24" s="18"/>
    </row>
    <row r="25" spans="4:17" x14ac:dyDescent="0.25">
      <c r="D25" s="37" t="s">
        <v>31</v>
      </c>
      <c r="E25" s="5"/>
      <c r="F25" s="11"/>
      <c r="G25" s="11"/>
      <c r="H25" s="11"/>
      <c r="I25" s="11"/>
      <c r="J25" s="11"/>
      <c r="K25" s="11"/>
      <c r="L25" s="18"/>
    </row>
    <row r="26" spans="4:17" x14ac:dyDescent="0.25">
      <c r="D26" s="24"/>
      <c r="E26" s="5"/>
      <c r="F26" s="11"/>
      <c r="G26" s="11"/>
      <c r="H26" s="11"/>
      <c r="I26" s="11"/>
      <c r="J26" s="11"/>
      <c r="K26" s="11"/>
      <c r="L26" s="18"/>
    </row>
    <row r="27" spans="4:17" x14ac:dyDescent="0.25">
      <c r="D27" s="37" t="s">
        <v>39</v>
      </c>
      <c r="E27" s="5"/>
      <c r="F27" s="11"/>
      <c r="G27" s="11"/>
      <c r="H27" s="11"/>
      <c r="I27" s="11"/>
      <c r="J27" s="11"/>
      <c r="K27" s="11"/>
      <c r="L27" s="18"/>
    </row>
    <row r="28" spans="4:17" x14ac:dyDescent="0.25">
      <c r="D28" s="19"/>
      <c r="E28" s="5"/>
      <c r="F28" s="11"/>
      <c r="G28" s="11"/>
      <c r="H28" s="11"/>
      <c r="I28" s="11"/>
      <c r="J28" s="11"/>
      <c r="K28" s="11"/>
      <c r="L28" s="18"/>
    </row>
    <row r="29" spans="4:17" x14ac:dyDescent="0.25">
      <c r="D29" s="37" t="s">
        <v>54</v>
      </c>
      <c r="E29" s="5"/>
      <c r="F29" s="11"/>
      <c r="G29" s="11"/>
      <c r="H29" s="11"/>
      <c r="I29" s="11"/>
      <c r="J29" s="11"/>
      <c r="K29" s="11"/>
      <c r="L29" s="18"/>
    </row>
    <row r="30" spans="4:17" x14ac:dyDescent="0.25">
      <c r="D30" s="37"/>
      <c r="E30" s="5"/>
      <c r="F30" s="11"/>
      <c r="G30" s="11"/>
      <c r="H30" s="11"/>
      <c r="I30" s="11"/>
      <c r="J30" s="11"/>
      <c r="K30" s="11"/>
      <c r="L30" s="18"/>
    </row>
    <row r="31" spans="4:17" x14ac:dyDescent="0.25">
      <c r="D31" s="37" t="s">
        <v>56</v>
      </c>
      <c r="E31" s="5"/>
      <c r="F31" s="11"/>
      <c r="G31" s="11"/>
      <c r="H31" s="11"/>
      <c r="I31" s="11"/>
      <c r="J31" s="11"/>
      <c r="K31" s="11"/>
      <c r="L31" s="18"/>
    </row>
    <row r="32" spans="4:17" x14ac:dyDescent="0.25">
      <c r="D32" s="19"/>
      <c r="E32" s="5"/>
      <c r="F32" s="11"/>
      <c r="G32" s="11"/>
      <c r="H32" s="11"/>
      <c r="I32" s="11"/>
      <c r="J32" s="11"/>
      <c r="K32" s="11"/>
      <c r="L32" s="18"/>
    </row>
    <row r="33" spans="4:12" x14ac:dyDescent="0.25">
      <c r="D33" s="19" t="s">
        <v>53</v>
      </c>
      <c r="E33" s="5"/>
      <c r="F33" s="11"/>
      <c r="G33" s="11"/>
      <c r="H33" s="11"/>
      <c r="I33" s="11"/>
      <c r="J33" s="11"/>
      <c r="K33" s="11"/>
      <c r="L33" s="18"/>
    </row>
    <row r="34" spans="4:12" x14ac:dyDescent="0.25">
      <c r="D34" s="19"/>
      <c r="E34" s="5"/>
      <c r="F34" s="11"/>
      <c r="G34" s="11"/>
      <c r="H34" s="11"/>
      <c r="I34" s="11"/>
      <c r="J34" s="11"/>
      <c r="K34" s="11"/>
      <c r="L34" s="18"/>
    </row>
    <row r="35" spans="4:12" x14ac:dyDescent="0.25">
      <c r="D35" s="25" t="s">
        <v>35</v>
      </c>
      <c r="E35" s="5"/>
      <c r="F35" s="9" t="s">
        <v>0</v>
      </c>
      <c r="G35" s="9" t="s">
        <v>1</v>
      </c>
      <c r="H35" s="9" t="s">
        <v>2</v>
      </c>
      <c r="I35" s="9" t="s">
        <v>3</v>
      </c>
      <c r="J35" s="9" t="s">
        <v>4</v>
      </c>
      <c r="K35" s="9" t="s">
        <v>5</v>
      </c>
      <c r="L35" s="20" t="s">
        <v>7</v>
      </c>
    </row>
    <row r="36" spans="4:12" x14ac:dyDescent="0.25">
      <c r="D36" s="19"/>
      <c r="E36" s="5"/>
      <c r="F36" s="5"/>
      <c r="G36" s="5"/>
      <c r="H36" s="5"/>
      <c r="I36" s="5"/>
      <c r="J36" s="5"/>
      <c r="K36" s="5"/>
      <c r="L36" s="26"/>
    </row>
    <row r="37" spans="4:12" x14ac:dyDescent="0.25">
      <c r="D37" s="19" t="s">
        <v>6</v>
      </c>
      <c r="E37" s="5"/>
      <c r="F37" s="11">
        <v>125000</v>
      </c>
      <c r="G37" s="11"/>
      <c r="H37" s="11"/>
      <c r="I37" s="11"/>
      <c r="J37" s="11"/>
      <c r="K37" s="11"/>
      <c r="L37" s="18">
        <f t="shared" ref="L37:L40" si="8">SUM(F37:K37)</f>
        <v>125000</v>
      </c>
    </row>
    <row r="38" spans="4:12" x14ac:dyDescent="0.25">
      <c r="D38" s="19" t="s">
        <v>8</v>
      </c>
      <c r="E38" s="5"/>
      <c r="F38" s="11"/>
      <c r="G38" s="11">
        <v>397034</v>
      </c>
      <c r="H38" s="11"/>
      <c r="I38" s="11">
        <v>252420</v>
      </c>
      <c r="J38" s="11"/>
      <c r="K38" s="11"/>
      <c r="L38" s="18">
        <f t="shared" si="8"/>
        <v>649454</v>
      </c>
    </row>
    <row r="39" spans="4:12" x14ac:dyDescent="0.25">
      <c r="D39" s="19" t="s">
        <v>9</v>
      </c>
      <c r="E39" s="5"/>
      <c r="F39" s="11"/>
      <c r="G39" s="11"/>
      <c r="H39" s="11">
        <v>149481</v>
      </c>
      <c r="I39" s="11"/>
      <c r="J39" s="11"/>
      <c r="K39" s="11"/>
      <c r="L39" s="18">
        <f t="shared" si="8"/>
        <v>149481</v>
      </c>
    </row>
    <row r="40" spans="4:12" x14ac:dyDescent="0.25">
      <c r="D40" s="19" t="s">
        <v>10</v>
      </c>
      <c r="E40" s="5"/>
      <c r="F40" s="11"/>
      <c r="G40" s="11">
        <v>424824</v>
      </c>
      <c r="H40" s="11">
        <v>856057</v>
      </c>
      <c r="I40" s="11"/>
      <c r="J40" s="11"/>
      <c r="K40" s="11"/>
      <c r="L40" s="18">
        <f t="shared" si="8"/>
        <v>1280881</v>
      </c>
    </row>
    <row r="41" spans="4:12" x14ac:dyDescent="0.25">
      <c r="D41" s="19" t="s">
        <v>11</v>
      </c>
      <c r="E41" s="5"/>
      <c r="F41" s="11">
        <v>425000</v>
      </c>
      <c r="G41" s="11"/>
      <c r="H41" s="11"/>
      <c r="I41" s="11"/>
      <c r="J41" s="11"/>
      <c r="K41" s="11"/>
      <c r="L41" s="18">
        <f t="shared" ref="L41:L47" si="9">SUM(F41:K41)</f>
        <v>425000</v>
      </c>
    </row>
    <row r="42" spans="4:12" x14ac:dyDescent="0.25">
      <c r="D42" s="19" t="s">
        <v>13</v>
      </c>
      <c r="E42" s="5"/>
      <c r="F42" s="11">
        <v>255000</v>
      </c>
      <c r="G42" s="11"/>
      <c r="H42" s="11"/>
      <c r="I42" s="11"/>
      <c r="J42" s="11"/>
      <c r="K42" s="11"/>
      <c r="L42" s="18">
        <f t="shared" si="9"/>
        <v>255000</v>
      </c>
    </row>
    <row r="43" spans="4:12" x14ac:dyDescent="0.25">
      <c r="D43" s="19" t="s">
        <v>14</v>
      </c>
      <c r="E43" s="5"/>
      <c r="F43" s="11">
        <v>350000</v>
      </c>
      <c r="G43" s="11">
        <v>300000</v>
      </c>
      <c r="H43" s="11">
        <v>290000</v>
      </c>
      <c r="I43" s="11"/>
      <c r="J43" s="11"/>
      <c r="K43" s="11"/>
      <c r="L43" s="18">
        <f t="shared" si="9"/>
        <v>940000</v>
      </c>
    </row>
    <row r="44" spans="4:12" x14ac:dyDescent="0.25">
      <c r="D44" s="19" t="s">
        <v>15</v>
      </c>
      <c r="E44" s="5"/>
      <c r="F44" s="11">
        <v>37948</v>
      </c>
      <c r="G44" s="11">
        <v>42042</v>
      </c>
      <c r="H44" s="11">
        <v>28815</v>
      </c>
      <c r="I44" s="11"/>
      <c r="J44" s="11"/>
      <c r="K44" s="11"/>
      <c r="L44" s="18">
        <f t="shared" si="9"/>
        <v>108805</v>
      </c>
    </row>
    <row r="45" spans="4:12" x14ac:dyDescent="0.25">
      <c r="D45" s="19" t="s">
        <v>16</v>
      </c>
      <c r="E45" s="5"/>
      <c r="F45" s="11">
        <v>50006</v>
      </c>
      <c r="G45" s="11">
        <v>30875</v>
      </c>
      <c r="H45" s="11">
        <v>43837</v>
      </c>
      <c r="I45" s="11">
        <v>4873</v>
      </c>
      <c r="J45" s="11"/>
      <c r="K45" s="11"/>
      <c r="L45" s="18">
        <f t="shared" si="9"/>
        <v>129591</v>
      </c>
    </row>
    <row r="46" spans="4:12" x14ac:dyDescent="0.25">
      <c r="D46" s="19" t="s">
        <v>17</v>
      </c>
      <c r="E46" s="5"/>
      <c r="F46" s="4"/>
      <c r="G46" s="4">
        <v>110338</v>
      </c>
      <c r="H46" s="4">
        <v>150000</v>
      </c>
      <c r="I46" s="4"/>
      <c r="J46" s="4"/>
      <c r="K46" s="4"/>
      <c r="L46" s="23">
        <f t="shared" si="9"/>
        <v>260338</v>
      </c>
    </row>
    <row r="47" spans="4:12" x14ac:dyDescent="0.25">
      <c r="D47" s="19"/>
      <c r="E47" s="5"/>
      <c r="F47" s="27">
        <f t="shared" ref="F47:K47" si="10">SUM(F37:F46)</f>
        <v>1242954</v>
      </c>
      <c r="G47" s="27">
        <f t="shared" si="10"/>
        <v>1305113</v>
      </c>
      <c r="H47" s="27">
        <f t="shared" si="10"/>
        <v>1518190</v>
      </c>
      <c r="I47" s="27">
        <f t="shared" si="10"/>
        <v>257293</v>
      </c>
      <c r="J47" s="27">
        <f t="shared" si="10"/>
        <v>0</v>
      </c>
      <c r="K47" s="27">
        <f t="shared" si="10"/>
        <v>0</v>
      </c>
      <c r="L47" s="28">
        <f t="shared" si="9"/>
        <v>4323550</v>
      </c>
    </row>
    <row r="48" spans="4:12" x14ac:dyDescent="0.25">
      <c r="D48" s="17" t="s">
        <v>32</v>
      </c>
      <c r="E48" s="5"/>
      <c r="F48" s="11"/>
      <c r="G48" s="11"/>
      <c r="H48" s="11"/>
      <c r="I48" s="11"/>
      <c r="J48" s="11"/>
      <c r="K48" s="11"/>
      <c r="L48" s="18"/>
    </row>
    <row r="49" spans="4:13" x14ac:dyDescent="0.25">
      <c r="D49" s="19" t="s">
        <v>22</v>
      </c>
      <c r="E49" s="5"/>
      <c r="F49" s="11"/>
      <c r="G49" s="11"/>
      <c r="H49" s="11"/>
      <c r="I49" s="11"/>
      <c r="J49" s="11"/>
      <c r="K49" s="11"/>
      <c r="L49" s="18"/>
    </row>
    <row r="50" spans="4:13" x14ac:dyDescent="0.25">
      <c r="D50" s="19" t="s">
        <v>23</v>
      </c>
      <c r="E50" s="5"/>
      <c r="F50" s="11"/>
      <c r="G50" s="11"/>
      <c r="H50" s="11"/>
      <c r="I50" s="11"/>
      <c r="J50" s="11"/>
      <c r="K50" s="11"/>
      <c r="L50" s="18"/>
    </row>
    <row r="51" spans="4:13" x14ac:dyDescent="0.25">
      <c r="D51" s="19" t="s">
        <v>36</v>
      </c>
      <c r="E51" s="5"/>
      <c r="F51" s="11"/>
      <c r="G51" s="11"/>
      <c r="H51" s="11"/>
      <c r="I51" s="11"/>
      <c r="J51" s="11"/>
      <c r="K51" s="11"/>
      <c r="L51" s="18"/>
    </row>
    <row r="52" spans="4:13" x14ac:dyDescent="0.25">
      <c r="D52" s="19" t="s">
        <v>33</v>
      </c>
      <c r="E52" s="5"/>
      <c r="F52" s="11"/>
      <c r="G52" s="11"/>
      <c r="H52" s="11"/>
      <c r="I52" s="11"/>
      <c r="J52" s="11"/>
      <c r="K52" s="11"/>
      <c r="L52" s="18"/>
    </row>
    <row r="53" spans="4:13" x14ac:dyDescent="0.25">
      <c r="D53" s="19" t="s">
        <v>34</v>
      </c>
      <c r="E53" s="5"/>
      <c r="F53" s="11"/>
      <c r="G53" s="11"/>
      <c r="H53" s="11"/>
      <c r="I53" s="11"/>
      <c r="J53" s="11"/>
      <c r="K53" s="11"/>
      <c r="L53" s="18"/>
    </row>
    <row r="54" spans="4:13" ht="15.75" thickBot="1" x14ac:dyDescent="0.3">
      <c r="D54" s="29"/>
      <c r="E54" s="30"/>
      <c r="F54" s="31"/>
      <c r="G54" s="31"/>
      <c r="H54" s="31"/>
      <c r="I54" s="31"/>
      <c r="J54" s="31"/>
      <c r="K54" s="31"/>
      <c r="L54" s="32"/>
      <c r="M54" s="12">
        <f>SUM(F54:K54)</f>
        <v>0</v>
      </c>
    </row>
    <row r="55" spans="4:13" x14ac:dyDescent="0.25">
      <c r="F55" s="1"/>
      <c r="G55" s="1"/>
      <c r="H55" s="1"/>
      <c r="I55" s="1"/>
      <c r="J55" s="1"/>
      <c r="K55" s="1"/>
      <c r="L55" s="1"/>
    </row>
    <row r="56" spans="4:13" x14ac:dyDescent="0.25">
      <c r="F56" s="1"/>
      <c r="G56" s="1"/>
      <c r="H56" s="1"/>
      <c r="I56" s="1"/>
      <c r="J56" s="1"/>
      <c r="K56" s="1"/>
      <c r="L56" s="1"/>
    </row>
    <row r="57" spans="4:13" x14ac:dyDescent="0.25">
      <c r="F57" s="1"/>
      <c r="G57" s="1"/>
      <c r="H57" s="1"/>
      <c r="I57" s="1"/>
      <c r="J57" s="1"/>
      <c r="K57" s="1"/>
      <c r="L57" s="1"/>
    </row>
    <row r="58" spans="4:13" x14ac:dyDescent="0.25">
      <c r="F58" s="1"/>
      <c r="G58" s="1"/>
      <c r="H58" s="1"/>
      <c r="I58" s="1"/>
      <c r="J58" s="1"/>
      <c r="K58" s="1"/>
      <c r="L58" s="1"/>
    </row>
    <row r="59" spans="4:13" x14ac:dyDescent="0.25">
      <c r="F59" s="1"/>
      <c r="G59" s="1"/>
      <c r="H59" s="1"/>
      <c r="I59" s="1"/>
      <c r="J59" s="1"/>
      <c r="K59" s="1"/>
      <c r="L59" s="1"/>
    </row>
    <row r="60" spans="4:13" x14ac:dyDescent="0.25">
      <c r="F60" s="1"/>
      <c r="G60" s="1"/>
      <c r="H60" s="1"/>
      <c r="I60" s="1"/>
      <c r="J60" s="1"/>
      <c r="K60" s="1"/>
      <c r="L60" s="1"/>
    </row>
    <row r="61" spans="4:13" x14ac:dyDescent="0.25">
      <c r="F61" s="1"/>
      <c r="G61" s="1"/>
      <c r="H61" s="1"/>
      <c r="I61" s="1"/>
      <c r="J61" s="1"/>
      <c r="K61" s="1"/>
      <c r="L61" s="1"/>
    </row>
    <row r="62" spans="4:13" x14ac:dyDescent="0.25">
      <c r="F62" s="1"/>
      <c r="G62" s="1"/>
      <c r="H62" s="1"/>
      <c r="I62" s="1"/>
      <c r="J62" s="1"/>
      <c r="K62" s="1"/>
      <c r="L62" s="1"/>
    </row>
    <row r="63" spans="4:13" x14ac:dyDescent="0.25">
      <c r="F63" s="1"/>
      <c r="G63" s="1"/>
      <c r="H63" s="1"/>
      <c r="I63" s="1"/>
      <c r="J63" s="1"/>
      <c r="K63" s="1"/>
      <c r="L63" s="1"/>
    </row>
    <row r="64" spans="4:13" x14ac:dyDescent="0.25">
      <c r="F64" s="1"/>
      <c r="G64" s="1"/>
      <c r="H64" s="1"/>
      <c r="I64" s="1"/>
      <c r="J64" s="1"/>
      <c r="K64" s="1"/>
      <c r="L64" s="1"/>
    </row>
    <row r="65" spans="6:12" x14ac:dyDescent="0.25">
      <c r="F65" s="1"/>
      <c r="G65" s="1"/>
      <c r="H65" s="1"/>
      <c r="I65" s="1"/>
      <c r="J65" s="1"/>
      <c r="K65" s="1"/>
      <c r="L65" s="1"/>
    </row>
    <row r="66" spans="6:12" x14ac:dyDescent="0.25">
      <c r="F66" s="1"/>
      <c r="G66" s="1"/>
      <c r="H66" s="1"/>
      <c r="I66" s="1"/>
      <c r="J66" s="1"/>
      <c r="K66" s="1"/>
      <c r="L66" s="1"/>
    </row>
    <row r="67" spans="6:12" x14ac:dyDescent="0.25">
      <c r="F67" s="1"/>
      <c r="G67" s="1"/>
      <c r="H67" s="1"/>
      <c r="I67" s="1"/>
      <c r="J67" s="1"/>
      <c r="K67" s="1"/>
      <c r="L67" s="1"/>
    </row>
    <row r="68" spans="6:12" x14ac:dyDescent="0.25">
      <c r="F68" s="1"/>
      <c r="G68" s="1"/>
      <c r="H68" s="1"/>
      <c r="I68" s="1"/>
      <c r="J68" s="1"/>
      <c r="K68" s="1"/>
      <c r="L68" s="1"/>
    </row>
    <row r="69" spans="6:12" x14ac:dyDescent="0.25">
      <c r="F69" s="1"/>
      <c r="G69" s="1"/>
      <c r="H69" s="1"/>
      <c r="I69" s="1"/>
      <c r="J69" s="1"/>
      <c r="K69" s="1"/>
      <c r="L69" s="1"/>
    </row>
    <row r="70" spans="6:12" x14ac:dyDescent="0.25">
      <c r="F70" s="1"/>
      <c r="G70" s="1"/>
      <c r="H70" s="1"/>
      <c r="I70" s="1"/>
      <c r="J70" s="1"/>
      <c r="K70" s="1"/>
      <c r="L70" s="1"/>
    </row>
    <row r="71" spans="6:12" x14ac:dyDescent="0.25">
      <c r="F71" s="1"/>
      <c r="G71" s="1"/>
      <c r="H71" s="1"/>
      <c r="I71" s="1"/>
      <c r="J71" s="1"/>
      <c r="K71" s="1"/>
      <c r="L71" s="1"/>
    </row>
    <row r="72" spans="6:12" x14ac:dyDescent="0.25">
      <c r="F72" s="1"/>
      <c r="G72" s="1"/>
      <c r="H72" s="1"/>
      <c r="I72" s="1"/>
      <c r="J72" s="1"/>
      <c r="K72" s="1"/>
      <c r="L72" s="1"/>
    </row>
    <row r="73" spans="6:12" x14ac:dyDescent="0.25">
      <c r="F73" s="1"/>
      <c r="G73" s="1"/>
      <c r="H73" s="1"/>
      <c r="I73" s="1"/>
      <c r="J73" s="1"/>
      <c r="K73" s="1"/>
      <c r="L73" s="1"/>
    </row>
    <row r="74" spans="6:12" x14ac:dyDescent="0.25">
      <c r="F74" s="1"/>
      <c r="G74" s="1"/>
      <c r="H74" s="1"/>
      <c r="I74" s="1"/>
      <c r="J74" s="1"/>
      <c r="K74" s="1"/>
      <c r="L74" s="1"/>
    </row>
    <row r="75" spans="6:12" x14ac:dyDescent="0.25">
      <c r="F75" s="1"/>
      <c r="G75" s="1"/>
      <c r="H75" s="1"/>
      <c r="I75" s="1"/>
      <c r="J75" s="1"/>
      <c r="K75" s="1"/>
      <c r="L75" s="1"/>
    </row>
    <row r="76" spans="6:12" x14ac:dyDescent="0.25">
      <c r="F76" s="1"/>
      <c r="G76" s="1"/>
      <c r="H76" s="1"/>
      <c r="I76" s="1"/>
      <c r="J76" s="1"/>
      <c r="K76" s="1"/>
      <c r="L76" s="1"/>
    </row>
    <row r="77" spans="6:12" x14ac:dyDescent="0.25">
      <c r="F77" s="1"/>
      <c r="G77" s="1"/>
      <c r="H77" s="1"/>
      <c r="I77" s="1"/>
      <c r="J77" s="1"/>
      <c r="K77" s="1"/>
      <c r="L77" s="1"/>
    </row>
    <row r="78" spans="6:12" x14ac:dyDescent="0.25">
      <c r="F78" s="1"/>
      <c r="G78" s="1"/>
      <c r="H78" s="1"/>
      <c r="I78" s="1"/>
      <c r="J78" s="1"/>
      <c r="K78" s="1"/>
      <c r="L78" s="1"/>
    </row>
    <row r="79" spans="6:12" x14ac:dyDescent="0.25">
      <c r="F79" s="1"/>
      <c r="G79" s="1"/>
      <c r="H79" s="1"/>
      <c r="I79" s="1"/>
      <c r="J79" s="1"/>
      <c r="K79" s="1"/>
      <c r="L79" s="1"/>
    </row>
    <row r="80" spans="6:12" x14ac:dyDescent="0.25">
      <c r="F80" s="1"/>
      <c r="G80" s="1"/>
      <c r="H80" s="1"/>
      <c r="I80" s="1"/>
      <c r="J80" s="1"/>
      <c r="K80" s="1"/>
      <c r="L80" s="1"/>
    </row>
    <row r="81" spans="6:12" x14ac:dyDescent="0.25">
      <c r="F81" s="1"/>
      <c r="G81" s="1"/>
      <c r="H81" s="1"/>
      <c r="I81" s="1"/>
      <c r="J81" s="1"/>
      <c r="K81" s="1"/>
      <c r="L81" s="1"/>
    </row>
    <row r="82" spans="6:12" x14ac:dyDescent="0.25">
      <c r="F82" s="1"/>
      <c r="G82" s="1"/>
      <c r="H82" s="1"/>
      <c r="I82" s="1"/>
      <c r="J82" s="1"/>
      <c r="K82" s="1"/>
      <c r="L82" s="1"/>
    </row>
    <row r="83" spans="6:12" x14ac:dyDescent="0.25">
      <c r="F83" s="1"/>
      <c r="G83" s="1"/>
      <c r="H83" s="1"/>
      <c r="I83" s="1"/>
      <c r="J83" s="1"/>
      <c r="K83" s="1"/>
      <c r="L83" s="1"/>
    </row>
    <row r="84" spans="6:12" x14ac:dyDescent="0.25">
      <c r="F84" s="1"/>
      <c r="G84" s="1"/>
      <c r="H84" s="1"/>
      <c r="I84" s="1"/>
      <c r="J84" s="1"/>
      <c r="K84" s="1"/>
      <c r="L84" s="1"/>
    </row>
  </sheetData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X96"/>
  <sheetViews>
    <sheetView showGridLines="0" zoomScale="120" zoomScaleNormal="120" workbookViewId="0">
      <selection sqref="A1:XFD1048576"/>
    </sheetView>
  </sheetViews>
  <sheetFormatPr defaultRowHeight="15" x14ac:dyDescent="0.25"/>
  <cols>
    <col min="4" max="4" width="45.140625" customWidth="1"/>
    <col min="5" max="5" width="3.42578125" customWidth="1"/>
    <col min="6" max="7" width="12.85546875" hidden="1" customWidth="1"/>
    <col min="8" max="8" width="12.42578125" customWidth="1"/>
    <col min="9" max="9" width="12.140625" customWidth="1"/>
    <col min="10" max="10" width="12.42578125" bestFit="1" customWidth="1"/>
    <col min="11" max="11" width="11.28515625" bestFit="1" customWidth="1"/>
    <col min="12" max="12" width="13.28515625" bestFit="1" customWidth="1"/>
    <col min="13" max="13" width="12.42578125" bestFit="1" customWidth="1"/>
    <col min="14" max="14" width="12.85546875" style="91" bestFit="1" customWidth="1"/>
    <col min="15" max="15" width="12.7109375" bestFit="1" customWidth="1"/>
    <col min="16" max="16" width="10.7109375" bestFit="1" customWidth="1"/>
    <col min="18" max="18" width="11.28515625" bestFit="1" customWidth="1"/>
    <col min="21" max="21" width="15.28515625" bestFit="1" customWidth="1"/>
  </cols>
  <sheetData>
    <row r="1" spans="4:24" ht="15.75" thickBot="1" x14ac:dyDescent="0.3">
      <c r="H1" s="1"/>
      <c r="I1" s="1"/>
      <c r="J1" s="1"/>
      <c r="K1" s="1"/>
      <c r="L1" s="1"/>
      <c r="M1" s="1"/>
      <c r="N1" s="84">
        <f t="shared" ref="N1" si="0">SUM(H1:M1)</f>
        <v>0</v>
      </c>
    </row>
    <row r="2" spans="4:24" x14ac:dyDescent="0.25">
      <c r="D2" s="53" t="s">
        <v>74</v>
      </c>
      <c r="E2" s="54"/>
      <c r="F2" s="55"/>
      <c r="G2" s="55"/>
      <c r="H2" s="56"/>
      <c r="I2" s="56"/>
      <c r="J2" s="56"/>
      <c r="K2" s="56"/>
      <c r="L2" s="56"/>
      <c r="M2" s="56"/>
      <c r="N2" s="85"/>
    </row>
    <row r="3" spans="4:24" x14ac:dyDescent="0.25">
      <c r="D3" s="57"/>
      <c r="E3" s="58"/>
      <c r="F3" s="59"/>
      <c r="G3" s="59"/>
      <c r="H3" s="60"/>
      <c r="I3" s="60"/>
      <c r="J3" s="60"/>
      <c r="K3" s="60"/>
      <c r="L3" s="60"/>
      <c r="M3" s="60"/>
      <c r="N3" s="86"/>
    </row>
    <row r="4" spans="4:24" x14ac:dyDescent="0.25">
      <c r="D4" s="61"/>
      <c r="E4" s="62"/>
      <c r="F4" s="62" t="s">
        <v>67</v>
      </c>
      <c r="G4" s="62" t="s">
        <v>68</v>
      </c>
      <c r="H4" s="63" t="s">
        <v>0</v>
      </c>
      <c r="I4" s="63" t="s">
        <v>1</v>
      </c>
      <c r="J4" s="63" t="s">
        <v>2</v>
      </c>
      <c r="K4" s="63" t="s">
        <v>3</v>
      </c>
      <c r="L4" s="63" t="s">
        <v>4</v>
      </c>
      <c r="M4" s="63" t="s">
        <v>5</v>
      </c>
      <c r="N4" s="64" t="s">
        <v>7</v>
      </c>
      <c r="O4" t="s">
        <v>25</v>
      </c>
      <c r="T4" t="s">
        <v>0</v>
      </c>
      <c r="U4" t="s">
        <v>1</v>
      </c>
      <c r="V4" t="s">
        <v>2</v>
      </c>
      <c r="W4" t="s">
        <v>3</v>
      </c>
    </row>
    <row r="5" spans="4:24" x14ac:dyDescent="0.25">
      <c r="D5" s="61" t="s">
        <v>48</v>
      </c>
      <c r="E5" s="62"/>
      <c r="F5" s="62"/>
      <c r="G5" s="62"/>
      <c r="H5" s="65">
        <f>$N$5*T6</f>
        <v>267685.08697960112</v>
      </c>
      <c r="I5" s="65">
        <f>$N$5*U6</f>
        <v>199499.1189049822</v>
      </c>
      <c r="J5" s="65">
        <f>$N$5*V6</f>
        <v>224039.60938803366</v>
      </c>
      <c r="K5" s="65">
        <f>$N$5*W6</f>
        <v>18459.184727383028</v>
      </c>
      <c r="L5" s="65"/>
      <c r="M5" s="65"/>
      <c r="N5" s="72">
        <v>709683</v>
      </c>
      <c r="O5" s="2">
        <f t="shared" ref="O5:O6" si="1">SUM(H5:M5)</f>
        <v>709683</v>
      </c>
      <c r="S5" t="s">
        <v>24</v>
      </c>
      <c r="T5">
        <v>4974</v>
      </c>
      <c r="U5">
        <v>3707</v>
      </c>
      <c r="V5">
        <v>4163</v>
      </c>
      <c r="W5">
        <v>343</v>
      </c>
      <c r="X5">
        <f>SUM(T5:W5)</f>
        <v>13187</v>
      </c>
    </row>
    <row r="6" spans="4:24" x14ac:dyDescent="0.25">
      <c r="D6" s="61" t="s">
        <v>57</v>
      </c>
      <c r="E6" s="62"/>
      <c r="F6" s="62"/>
      <c r="G6" s="62"/>
      <c r="H6" s="65">
        <f>$N$6*T6</f>
        <v>305887.60976719495</v>
      </c>
      <c r="I6" s="65">
        <f t="shared" ref="I6:K6" si="2">$N$6*U6</f>
        <v>227970.52058845834</v>
      </c>
      <c r="J6" s="65">
        <f t="shared" si="2"/>
        <v>256013.29301584893</v>
      </c>
      <c r="K6" s="65">
        <f t="shared" si="2"/>
        <v>21093.576628497762</v>
      </c>
      <c r="L6" s="65"/>
      <c r="M6" s="65"/>
      <c r="N6" s="72">
        <v>810965</v>
      </c>
      <c r="O6" s="2">
        <f t="shared" si="1"/>
        <v>810965.00000000012</v>
      </c>
      <c r="T6" s="3">
        <f>T5/$X$5</f>
        <v>0.37718965647986652</v>
      </c>
      <c r="U6" s="3">
        <f>U5/$X$5</f>
        <v>0.28111018427238949</v>
      </c>
      <c r="V6" s="3">
        <f>V5/$X$5</f>
        <v>0.31568969439599603</v>
      </c>
      <c r="W6" s="3">
        <f>W5/$X$5</f>
        <v>2.6010464851747933E-2</v>
      </c>
      <c r="X6" s="3">
        <f>X5/$X$5</f>
        <v>1</v>
      </c>
    </row>
    <row r="7" spans="4:24" x14ac:dyDescent="0.25">
      <c r="D7" s="61" t="s">
        <v>21</v>
      </c>
      <c r="E7" s="62"/>
      <c r="F7" s="62"/>
      <c r="G7" s="62"/>
      <c r="H7" s="65">
        <f>$N$7*T6</f>
        <v>-565784.48471979983</v>
      </c>
      <c r="I7" s="65">
        <f>$N$7*U6</f>
        <v>-421665.27640858421</v>
      </c>
      <c r="J7" s="65">
        <f>$N$7*V6</f>
        <v>-473534.54159399407</v>
      </c>
      <c r="K7" s="65">
        <f>$N$7*W6</f>
        <v>-39015.697277621897</v>
      </c>
      <c r="L7" s="65"/>
      <c r="M7" s="65"/>
      <c r="N7" s="72">
        <v>-1500000</v>
      </c>
      <c r="O7" s="2">
        <f>SUM(H7:M7)</f>
        <v>-1500000</v>
      </c>
    </row>
    <row r="8" spans="4:24" x14ac:dyDescent="0.25">
      <c r="D8" s="66" t="s">
        <v>41</v>
      </c>
      <c r="E8" s="59"/>
      <c r="F8" s="59"/>
      <c r="G8" s="59"/>
      <c r="H8" s="67">
        <f>'Governor''s Budget'!F7</f>
        <v>-203682.41449912792</v>
      </c>
      <c r="I8" s="65">
        <f>'Governor''s Budget'!G7</f>
        <v>-151799.49950709031</v>
      </c>
      <c r="J8" s="67">
        <f>'Governor''s Budget'!H7</f>
        <v>-170472.43497383787</v>
      </c>
      <c r="K8" s="67">
        <f>'Governor''s Budget'!I7</f>
        <v>-14045.651019943884</v>
      </c>
      <c r="L8" s="67"/>
      <c r="M8" s="67"/>
      <c r="N8" s="72">
        <f>'Governor''s Budget'!L7</f>
        <v>-540000</v>
      </c>
      <c r="O8" s="2">
        <f>SUM(H8:M8)</f>
        <v>-540000</v>
      </c>
    </row>
    <row r="9" spans="4:24" x14ac:dyDescent="0.25">
      <c r="D9" s="61" t="s">
        <v>20</v>
      </c>
      <c r="E9" s="62"/>
      <c r="F9" s="62"/>
      <c r="G9" s="62"/>
      <c r="H9" s="65">
        <v>-195431</v>
      </c>
      <c r="I9" s="65">
        <v>-116276</v>
      </c>
      <c r="J9" s="65">
        <v>-117137</v>
      </c>
      <c r="K9" s="65">
        <v>-541156</v>
      </c>
      <c r="L9" s="65"/>
      <c r="M9" s="65"/>
      <c r="N9" s="72">
        <f>SUM(H9:M9)</f>
        <v>-970000</v>
      </c>
      <c r="O9" s="2">
        <f>SUM(H9:M9)</f>
        <v>-970000</v>
      </c>
      <c r="S9" t="s">
        <v>42</v>
      </c>
    </row>
    <row r="10" spans="4:24" x14ac:dyDescent="0.25">
      <c r="D10" s="61" t="s">
        <v>30</v>
      </c>
      <c r="E10" s="62"/>
      <c r="F10" s="68">
        <f>SUM(I7:I9)</f>
        <v>-689740.77591567452</v>
      </c>
      <c r="G10" s="68">
        <f>SUM(I5:I6)</f>
        <v>427469.63949344051</v>
      </c>
      <c r="H10" s="69">
        <f t="shared" ref="H10:O10" si="3">SUM(H5:H9)</f>
        <v>-391325.20247213158</v>
      </c>
      <c r="I10" s="70">
        <f t="shared" si="3"/>
        <v>-262271.13642223401</v>
      </c>
      <c r="J10" s="70">
        <f t="shared" si="3"/>
        <v>-281091.07416394935</v>
      </c>
      <c r="K10" s="70">
        <f t="shared" si="3"/>
        <v>-554664.58694168495</v>
      </c>
      <c r="L10" s="70">
        <f t="shared" si="3"/>
        <v>0</v>
      </c>
      <c r="M10" s="70">
        <f t="shared" si="3"/>
        <v>0</v>
      </c>
      <c r="N10" s="71">
        <f t="shared" si="3"/>
        <v>-1489352</v>
      </c>
      <c r="O10" s="8">
        <f t="shared" si="3"/>
        <v>-1489352</v>
      </c>
      <c r="S10" t="s">
        <v>43</v>
      </c>
      <c r="U10" s="34">
        <v>90000000</v>
      </c>
    </row>
    <row r="11" spans="4:24" x14ac:dyDescent="0.25">
      <c r="D11" s="61"/>
      <c r="E11" s="62"/>
      <c r="F11" s="62"/>
      <c r="G11" s="62"/>
      <c r="H11" s="65"/>
      <c r="I11" s="65"/>
      <c r="J11" s="65"/>
      <c r="K11" s="65"/>
      <c r="L11" s="65"/>
      <c r="M11" s="65"/>
      <c r="N11" s="72"/>
      <c r="O11" s="8"/>
      <c r="S11" t="s">
        <v>44</v>
      </c>
      <c r="U11" s="35">
        <v>0.3</v>
      </c>
    </row>
    <row r="12" spans="4:24" x14ac:dyDescent="0.25">
      <c r="D12" s="61" t="s">
        <v>37</v>
      </c>
      <c r="E12" s="62"/>
      <c r="F12" s="68">
        <f>+I12</f>
        <v>-140555.09213619475</v>
      </c>
      <c r="G12" s="68">
        <v>0</v>
      </c>
      <c r="H12" s="73">
        <f>-$Q$12*T6</f>
        <v>-188594.82823993327</v>
      </c>
      <c r="I12" s="73">
        <f>-$Q$12*U6</f>
        <v>-140555.09213619475</v>
      </c>
      <c r="J12" s="73">
        <f>-$Q$12*V6</f>
        <v>-157844.84719799802</v>
      </c>
      <c r="K12" s="73">
        <f>-$Q$12*W6</f>
        <v>-13005.232425873966</v>
      </c>
      <c r="L12" s="73">
        <f>Q12-M12</f>
        <v>459536</v>
      </c>
      <c r="M12" s="73">
        <v>40464</v>
      </c>
      <c r="N12" s="74">
        <f>SUM(H12:M12)</f>
        <v>-5.8207660913467407E-11</v>
      </c>
      <c r="O12" s="8">
        <f>SUM(H12:N12)</f>
        <v>-1.1641532182693481E-10</v>
      </c>
      <c r="Q12">
        <v>500000</v>
      </c>
      <c r="S12" t="s">
        <v>45</v>
      </c>
      <c r="U12" s="35">
        <v>0.02</v>
      </c>
    </row>
    <row r="13" spans="4:24" x14ac:dyDescent="0.25">
      <c r="D13" s="61"/>
      <c r="E13" s="62"/>
      <c r="F13" s="68">
        <f>+F10+F12</f>
        <v>-830295.86805186933</v>
      </c>
      <c r="G13" s="68">
        <f>+G10+G12</f>
        <v>427469.63949344051</v>
      </c>
      <c r="H13" s="65">
        <f>SUM(H10:H12)</f>
        <v>-579920.03071206482</v>
      </c>
      <c r="I13" s="65">
        <f>SUM(I10:I12)</f>
        <v>-402826.22855842876</v>
      </c>
      <c r="J13" s="65">
        <f>SUM(J10:J12)</f>
        <v>-438935.92136194737</v>
      </c>
      <c r="K13" s="65">
        <f>SUM(K10:K12)</f>
        <v>-567669.81936755893</v>
      </c>
      <c r="L13" s="65">
        <f>SUM(L10:L12)</f>
        <v>459536</v>
      </c>
      <c r="M13" s="65">
        <f>M10+M12</f>
        <v>40464</v>
      </c>
      <c r="N13" s="72">
        <f>SUM(N10:N12)</f>
        <v>-1489352</v>
      </c>
      <c r="U13" s="36">
        <f>U10*U11*U12</f>
        <v>540000</v>
      </c>
    </row>
    <row r="14" spans="4:24" x14ac:dyDescent="0.25">
      <c r="D14" s="61"/>
      <c r="E14" s="62"/>
      <c r="F14" s="62"/>
      <c r="G14" s="62"/>
      <c r="H14" s="65"/>
      <c r="I14" s="65"/>
      <c r="J14" s="65"/>
      <c r="K14" s="65"/>
      <c r="L14" s="65"/>
      <c r="M14" s="65"/>
      <c r="N14" s="72"/>
      <c r="U14" s="36"/>
    </row>
    <row r="15" spans="4:24" x14ac:dyDescent="0.25">
      <c r="D15" s="75" t="s">
        <v>60</v>
      </c>
      <c r="E15" s="76"/>
      <c r="F15" s="62"/>
      <c r="G15" s="62"/>
      <c r="H15" s="65"/>
      <c r="I15" s="65"/>
      <c r="J15" s="65"/>
      <c r="K15" s="65"/>
      <c r="L15" s="65"/>
      <c r="M15" s="65"/>
      <c r="N15" s="72"/>
      <c r="U15" s="36"/>
    </row>
    <row r="16" spans="4:24" x14ac:dyDescent="0.25">
      <c r="D16" s="61" t="s">
        <v>70</v>
      </c>
      <c r="E16" s="62"/>
      <c r="F16" s="68">
        <f>+I16</f>
        <v>-2516713</v>
      </c>
      <c r="G16" s="68"/>
      <c r="H16" s="65"/>
      <c r="I16" s="65">
        <v>-2516713</v>
      </c>
      <c r="J16" s="65">
        <f>-450000-200000</f>
        <v>-650000</v>
      </c>
      <c r="K16" s="65"/>
      <c r="L16" s="65"/>
      <c r="M16" s="65"/>
      <c r="N16" s="72">
        <f>SUM(H16:M16)</f>
        <v>-3166713</v>
      </c>
      <c r="U16" s="36"/>
    </row>
    <row r="17" spans="4:21" hidden="1" x14ac:dyDescent="0.25">
      <c r="D17" s="61" t="s">
        <v>65</v>
      </c>
      <c r="E17" s="62"/>
      <c r="F17" s="62"/>
      <c r="G17" s="62"/>
      <c r="H17" s="65"/>
      <c r="I17" s="65"/>
      <c r="J17" s="65"/>
      <c r="K17" s="65"/>
      <c r="L17" s="65"/>
      <c r="M17" s="65"/>
      <c r="N17" s="72">
        <f t="shared" ref="N17:N24" si="4">SUM(H17:M17)</f>
        <v>0</v>
      </c>
      <c r="U17" s="36"/>
    </row>
    <row r="18" spans="4:21" x14ac:dyDescent="0.25">
      <c r="D18" s="61" t="s">
        <v>62</v>
      </c>
      <c r="E18" s="62"/>
      <c r="F18" s="62"/>
      <c r="G18" s="62"/>
      <c r="H18" s="65">
        <v>-1005794</v>
      </c>
      <c r="I18" s="65">
        <v>1276472</v>
      </c>
      <c r="J18" s="65"/>
      <c r="K18" s="65"/>
      <c r="L18" s="65"/>
      <c r="M18" s="65"/>
      <c r="N18" s="72">
        <f t="shared" si="4"/>
        <v>270678</v>
      </c>
      <c r="U18" s="36"/>
    </row>
    <row r="19" spans="4:21" x14ac:dyDescent="0.25">
      <c r="D19" s="61" t="s">
        <v>63</v>
      </c>
      <c r="E19" s="62"/>
      <c r="F19" s="62"/>
      <c r="G19" s="68">
        <f>SUM(I17:I19)</f>
        <v>1476472</v>
      </c>
      <c r="H19" s="65"/>
      <c r="I19" s="65">
        <v>200000</v>
      </c>
      <c r="J19" s="65"/>
      <c r="K19" s="65"/>
      <c r="L19" s="65"/>
      <c r="M19" s="65"/>
      <c r="N19" s="72">
        <f t="shared" si="4"/>
        <v>200000</v>
      </c>
      <c r="U19" s="36"/>
    </row>
    <row r="20" spans="4:21" x14ac:dyDescent="0.25">
      <c r="D20" s="61" t="s">
        <v>69</v>
      </c>
      <c r="E20" s="62"/>
      <c r="F20" s="62"/>
      <c r="G20" s="68"/>
      <c r="H20" s="65">
        <v>110637</v>
      </c>
      <c r="I20" s="65"/>
      <c r="J20" s="65"/>
      <c r="K20" s="65">
        <v>-181000</v>
      </c>
      <c r="L20" s="65"/>
      <c r="M20" s="65"/>
      <c r="N20" s="72">
        <f t="shared" si="4"/>
        <v>-70363</v>
      </c>
      <c r="U20" s="36"/>
    </row>
    <row r="21" spans="4:21" hidden="1" x14ac:dyDescent="0.25">
      <c r="D21" s="61" t="s">
        <v>71</v>
      </c>
      <c r="E21" s="62"/>
      <c r="F21" s="62"/>
      <c r="G21" s="68"/>
      <c r="H21" s="65"/>
      <c r="I21" s="65"/>
      <c r="J21" s="65">
        <f>-1499516+450000+256013+100000+50000+200000+443503</f>
        <v>0</v>
      </c>
      <c r="K21" s="65"/>
      <c r="L21" s="65"/>
      <c r="M21" s="65"/>
      <c r="N21" s="72">
        <f t="shared" si="4"/>
        <v>0</v>
      </c>
      <c r="U21" s="36"/>
    </row>
    <row r="22" spans="4:21" hidden="1" x14ac:dyDescent="0.25">
      <c r="D22" s="61" t="s">
        <v>64</v>
      </c>
      <c r="E22" s="62"/>
      <c r="F22" s="62"/>
      <c r="G22" s="62"/>
      <c r="H22" s="65"/>
      <c r="I22" s="65"/>
      <c r="J22" s="65"/>
      <c r="K22" s="65"/>
      <c r="L22" s="65"/>
      <c r="M22" s="65"/>
      <c r="N22" s="72">
        <f t="shared" si="4"/>
        <v>0</v>
      </c>
      <c r="U22" s="36"/>
    </row>
    <row r="23" spans="4:21" x14ac:dyDescent="0.25">
      <c r="D23" s="61" t="s">
        <v>72</v>
      </c>
      <c r="E23" s="62"/>
      <c r="F23" s="68">
        <f>+I23</f>
        <v>-577165</v>
      </c>
      <c r="G23" s="68"/>
      <c r="H23" s="65"/>
      <c r="I23" s="65">
        <f>-110065-150000-317100</f>
        <v>-577165</v>
      </c>
      <c r="J23" s="65">
        <f>-256013-100000-50000-443503</f>
        <v>-849516</v>
      </c>
      <c r="K23" s="65"/>
      <c r="L23" s="65"/>
      <c r="M23" s="65"/>
      <c r="N23" s="72">
        <f t="shared" si="4"/>
        <v>-1426681</v>
      </c>
      <c r="U23" s="36"/>
    </row>
    <row r="24" spans="4:21" x14ac:dyDescent="0.25">
      <c r="D24" s="61" t="s">
        <v>61</v>
      </c>
      <c r="E24" s="62"/>
      <c r="F24" s="62"/>
      <c r="G24" s="68">
        <f>+I24</f>
        <v>421665</v>
      </c>
      <c r="H24" s="73">
        <f>-1*H7</f>
        <v>565784.48471979983</v>
      </c>
      <c r="I24" s="73">
        <v>421665</v>
      </c>
      <c r="J24" s="73">
        <v>473535</v>
      </c>
      <c r="K24" s="73">
        <f>-1*K7</f>
        <v>39015.697277621897</v>
      </c>
      <c r="L24" s="73"/>
      <c r="M24" s="73"/>
      <c r="N24" s="74">
        <f t="shared" si="4"/>
        <v>1500000.1819974217</v>
      </c>
      <c r="U24" s="36"/>
    </row>
    <row r="25" spans="4:21" x14ac:dyDescent="0.25">
      <c r="D25" s="61"/>
      <c r="E25" s="62"/>
      <c r="F25" s="62"/>
      <c r="G25" s="62"/>
      <c r="H25" s="65">
        <f>SUM(H13:H24)</f>
        <v>-909292.54599226499</v>
      </c>
      <c r="I25" s="65">
        <f t="shared" ref="I25:M25" si="5">SUM(I13:I24)</f>
        <v>-1598567.2285584286</v>
      </c>
      <c r="J25" s="65">
        <f t="shared" si="5"/>
        <v>-1464916.9213619474</v>
      </c>
      <c r="K25" s="65">
        <f t="shared" si="5"/>
        <v>-709654.12208993698</v>
      </c>
      <c r="L25" s="65">
        <f t="shared" si="5"/>
        <v>459536</v>
      </c>
      <c r="M25" s="65">
        <f t="shared" si="5"/>
        <v>40464</v>
      </c>
      <c r="N25" s="72">
        <f>SUM(H25:M25)</f>
        <v>-4182430.8180025779</v>
      </c>
      <c r="U25" s="36"/>
    </row>
    <row r="26" spans="4:21" x14ac:dyDescent="0.25">
      <c r="D26" s="61" t="s">
        <v>73</v>
      </c>
      <c r="E26" s="62"/>
      <c r="F26" s="77"/>
      <c r="G26" s="78">
        <f>+I26</f>
        <v>250000</v>
      </c>
      <c r="H26" s="73"/>
      <c r="I26" s="73">
        <v>250000</v>
      </c>
      <c r="J26" s="73"/>
      <c r="K26" s="73"/>
      <c r="L26" s="73"/>
      <c r="M26" s="73"/>
      <c r="N26" s="74">
        <f t="shared" ref="N26" si="6">SUM(H26:M26)</f>
        <v>250000</v>
      </c>
      <c r="U26" s="36"/>
    </row>
    <row r="27" spans="4:21" ht="15.75" thickBot="1" x14ac:dyDescent="0.3">
      <c r="D27" s="79"/>
      <c r="E27" s="80"/>
      <c r="F27" s="81">
        <f>SUM(F13:F26)</f>
        <v>-3924173.8680518693</v>
      </c>
      <c r="G27" s="81">
        <f>SUM(G13:G26)</f>
        <v>2575606.6394934403</v>
      </c>
      <c r="H27" s="82">
        <f>SUM(H25:H26)</f>
        <v>-909292.54599226499</v>
      </c>
      <c r="I27" s="82">
        <f t="shared" ref="I27:N27" si="7">SUM(I25:I26)</f>
        <v>-1348567.2285584286</v>
      </c>
      <c r="J27" s="82">
        <f t="shared" si="7"/>
        <v>-1464916.9213619474</v>
      </c>
      <c r="K27" s="82">
        <f t="shared" si="7"/>
        <v>-709654.12208993698</v>
      </c>
      <c r="L27" s="82">
        <f t="shared" si="7"/>
        <v>459536</v>
      </c>
      <c r="M27" s="82">
        <f t="shared" si="7"/>
        <v>40464</v>
      </c>
      <c r="N27" s="83">
        <f t="shared" si="7"/>
        <v>-3932430.8180025779</v>
      </c>
      <c r="P27" s="2">
        <f>+I16+I23</f>
        <v>-3093878</v>
      </c>
      <c r="U27" s="36"/>
    </row>
    <row r="28" spans="4:21" x14ac:dyDescent="0.25">
      <c r="D28" s="39"/>
      <c r="E28" s="40"/>
      <c r="F28" s="40"/>
      <c r="G28" s="40"/>
      <c r="H28" s="42"/>
      <c r="I28" s="42"/>
      <c r="J28" s="42"/>
      <c r="K28" s="42"/>
      <c r="L28" s="42"/>
      <c r="M28" s="42"/>
      <c r="N28" s="42"/>
      <c r="U28" s="36"/>
    </row>
    <row r="29" spans="4:21" x14ac:dyDescent="0.25">
      <c r="D29" s="39"/>
      <c r="E29" s="40"/>
      <c r="F29" s="46"/>
      <c r="G29" s="46"/>
      <c r="H29" s="42"/>
      <c r="J29" s="42"/>
      <c r="K29" s="42"/>
      <c r="L29" s="42"/>
      <c r="M29" s="42"/>
      <c r="N29" s="43"/>
      <c r="P29" s="42">
        <f>SUM(I18:I19)+I24+I26</f>
        <v>2148137</v>
      </c>
      <c r="Q29" t="s">
        <v>66</v>
      </c>
    </row>
    <row r="30" spans="4:21" x14ac:dyDescent="0.25">
      <c r="D30" s="44" t="s">
        <v>26</v>
      </c>
      <c r="E30" s="47"/>
      <c r="F30" s="40"/>
      <c r="G30" s="40"/>
      <c r="H30" s="42"/>
      <c r="I30" s="42"/>
      <c r="J30" s="42"/>
      <c r="K30" s="42"/>
      <c r="L30" s="42"/>
      <c r="M30" s="42"/>
      <c r="N30" s="43"/>
      <c r="R30" s="5"/>
    </row>
    <row r="31" spans="4:21" x14ac:dyDescent="0.25">
      <c r="D31" s="45" t="s">
        <v>58</v>
      </c>
      <c r="E31" s="48"/>
      <c r="F31" s="40"/>
      <c r="G31" s="40"/>
      <c r="H31" s="42"/>
      <c r="I31" s="42"/>
      <c r="J31" s="42"/>
      <c r="K31" s="42"/>
      <c r="L31" s="42"/>
      <c r="M31" s="42"/>
      <c r="N31" s="43"/>
      <c r="S31" t="s">
        <v>40</v>
      </c>
    </row>
    <row r="32" spans="4:21" x14ac:dyDescent="0.25">
      <c r="D32" s="39"/>
      <c r="E32" s="40"/>
      <c r="F32" s="40"/>
      <c r="G32" s="40"/>
      <c r="H32" s="42"/>
      <c r="I32" s="42"/>
      <c r="J32" s="42"/>
      <c r="K32" s="42"/>
      <c r="L32" s="42"/>
      <c r="M32" s="42"/>
      <c r="N32" s="43"/>
    </row>
    <row r="33" spans="4:18" x14ac:dyDescent="0.25">
      <c r="D33" s="45" t="s">
        <v>28</v>
      </c>
      <c r="E33" s="48"/>
      <c r="F33" s="40"/>
      <c r="G33" s="40"/>
      <c r="H33" s="42"/>
      <c r="I33" s="42"/>
      <c r="J33" s="42"/>
      <c r="K33" s="42"/>
      <c r="L33" s="42"/>
      <c r="M33" s="42"/>
      <c r="N33" s="43"/>
    </row>
    <row r="34" spans="4:18" x14ac:dyDescent="0.25">
      <c r="D34" s="39"/>
      <c r="E34" s="40"/>
      <c r="F34" s="40"/>
      <c r="G34" s="40"/>
      <c r="H34" s="42"/>
      <c r="I34" s="42"/>
      <c r="J34" s="42"/>
      <c r="K34" s="42"/>
      <c r="L34" s="42"/>
      <c r="M34" s="42"/>
      <c r="N34" s="43"/>
      <c r="R34" s="2"/>
    </row>
    <row r="35" spans="4:18" x14ac:dyDescent="0.25">
      <c r="D35" s="45" t="s">
        <v>29</v>
      </c>
      <c r="E35" s="48"/>
      <c r="F35" s="40"/>
      <c r="G35" s="40"/>
      <c r="H35" s="42"/>
      <c r="I35" s="42"/>
      <c r="J35" s="42"/>
      <c r="K35" s="42"/>
      <c r="L35" s="42"/>
      <c r="M35" s="42"/>
      <c r="N35" s="43"/>
      <c r="R35" s="2"/>
    </row>
    <row r="36" spans="4:18" x14ac:dyDescent="0.25">
      <c r="D36" s="39"/>
      <c r="E36" s="40"/>
      <c r="F36" s="40"/>
      <c r="G36" s="40"/>
      <c r="H36" s="42"/>
      <c r="I36" s="42"/>
      <c r="J36" s="42"/>
      <c r="K36" s="42"/>
      <c r="L36" s="42"/>
      <c r="M36" s="42"/>
      <c r="N36" s="43"/>
      <c r="R36" s="2"/>
    </row>
    <row r="37" spans="4:18" x14ac:dyDescent="0.25">
      <c r="D37" s="37" t="s">
        <v>46</v>
      </c>
      <c r="E37" s="49"/>
      <c r="F37" s="5"/>
      <c r="G37" s="5"/>
      <c r="H37" s="11"/>
      <c r="I37" s="11"/>
      <c r="J37" s="11"/>
      <c r="K37" s="11"/>
      <c r="L37" s="11"/>
      <c r="M37" s="11"/>
      <c r="N37" s="43"/>
    </row>
    <row r="38" spans="4:18" x14ac:dyDescent="0.25">
      <c r="D38" s="19"/>
      <c r="E38" s="5"/>
      <c r="F38" s="5"/>
      <c r="G38" s="5"/>
      <c r="H38" s="11"/>
      <c r="I38" s="11"/>
      <c r="J38" s="11"/>
      <c r="K38" s="11"/>
      <c r="L38" s="11"/>
      <c r="M38" s="11"/>
      <c r="N38" s="43"/>
    </row>
    <row r="39" spans="4:18" x14ac:dyDescent="0.25">
      <c r="D39" s="37" t="s">
        <v>31</v>
      </c>
      <c r="E39" s="49"/>
      <c r="F39" s="5"/>
      <c r="G39" s="5"/>
      <c r="H39" s="11"/>
      <c r="I39" s="11"/>
      <c r="J39" s="11"/>
      <c r="K39" s="11"/>
      <c r="L39" s="11"/>
      <c r="M39" s="11"/>
      <c r="N39" s="43"/>
    </row>
    <row r="40" spans="4:18" x14ac:dyDescent="0.25">
      <c r="D40" s="24"/>
      <c r="E40" s="50"/>
      <c r="F40" s="5"/>
      <c r="G40" s="5"/>
      <c r="H40" s="11"/>
      <c r="I40" s="11"/>
      <c r="J40" s="11"/>
      <c r="K40" s="11"/>
      <c r="L40" s="11"/>
      <c r="M40" s="11"/>
      <c r="N40" s="43"/>
    </row>
    <row r="41" spans="4:18" x14ac:dyDescent="0.25">
      <c r="D41" s="37" t="s">
        <v>39</v>
      </c>
      <c r="E41" s="49"/>
      <c r="F41" s="5"/>
      <c r="G41" s="5"/>
      <c r="H41" s="11"/>
      <c r="I41" s="11"/>
      <c r="J41" s="11"/>
      <c r="K41" s="11"/>
      <c r="L41" s="11"/>
      <c r="M41" s="11"/>
      <c r="N41" s="43"/>
    </row>
    <row r="42" spans="4:18" x14ac:dyDescent="0.25">
      <c r="D42" s="19"/>
      <c r="E42" s="5"/>
      <c r="F42" s="5"/>
      <c r="G42" s="5"/>
      <c r="H42" s="11"/>
      <c r="I42" s="11"/>
      <c r="J42" s="11"/>
      <c r="K42" s="11"/>
      <c r="L42" s="11"/>
      <c r="M42" s="11"/>
      <c r="N42" s="43"/>
    </row>
    <row r="43" spans="4:18" x14ac:dyDescent="0.25">
      <c r="D43" s="37" t="s">
        <v>54</v>
      </c>
      <c r="E43" s="49"/>
      <c r="F43" s="5"/>
      <c r="G43" s="5"/>
      <c r="H43" s="11"/>
      <c r="I43" s="11"/>
      <c r="J43" s="11"/>
      <c r="K43" s="11"/>
      <c r="L43" s="11"/>
      <c r="M43" s="11"/>
      <c r="N43" s="43"/>
    </row>
    <row r="44" spans="4:18" x14ac:dyDescent="0.25">
      <c r="D44" s="37"/>
      <c r="E44" s="49"/>
      <c r="F44" s="5"/>
      <c r="G44" s="5"/>
      <c r="H44" s="11"/>
      <c r="I44" s="11"/>
      <c r="J44" s="11"/>
      <c r="K44" s="11"/>
      <c r="L44" s="11"/>
      <c r="M44" s="11"/>
      <c r="N44" s="43"/>
    </row>
    <row r="45" spans="4:18" x14ac:dyDescent="0.25">
      <c r="D45" s="37" t="s">
        <v>59</v>
      </c>
      <c r="E45" s="49"/>
      <c r="F45" s="5"/>
      <c r="G45" s="5"/>
      <c r="H45" s="11"/>
      <c r="I45" s="11"/>
      <c r="J45" s="11"/>
      <c r="K45" s="11"/>
      <c r="L45" s="11"/>
      <c r="M45" s="11"/>
      <c r="N45" s="43"/>
    </row>
    <row r="46" spans="4:18" x14ac:dyDescent="0.25">
      <c r="D46" s="19"/>
      <c r="E46" s="5"/>
      <c r="F46" s="5"/>
      <c r="G46" s="5"/>
      <c r="H46" s="11"/>
      <c r="I46" s="11"/>
      <c r="J46" s="11"/>
      <c r="K46" s="11"/>
      <c r="L46" s="11"/>
      <c r="M46" s="11"/>
      <c r="N46" s="43"/>
    </row>
    <row r="47" spans="4:18" x14ac:dyDescent="0.25">
      <c r="D47" s="25" t="s">
        <v>35</v>
      </c>
      <c r="E47" s="51"/>
      <c r="F47" s="5"/>
      <c r="G47" s="5"/>
      <c r="H47" s="9" t="s">
        <v>0</v>
      </c>
      <c r="I47" s="9" t="s">
        <v>1</v>
      </c>
      <c r="J47" s="9" t="s">
        <v>2</v>
      </c>
      <c r="K47" s="9" t="s">
        <v>3</v>
      </c>
      <c r="L47" s="9" t="s">
        <v>4</v>
      </c>
      <c r="M47" s="9" t="s">
        <v>5</v>
      </c>
      <c r="N47" s="41" t="s">
        <v>7</v>
      </c>
    </row>
    <row r="48" spans="4:18" x14ac:dyDescent="0.25">
      <c r="D48" s="19"/>
      <c r="E48" s="5"/>
      <c r="F48" s="5"/>
      <c r="G48" s="5"/>
      <c r="H48" s="5"/>
      <c r="I48" s="5"/>
      <c r="J48" s="5"/>
      <c r="K48" s="5"/>
      <c r="L48" s="5"/>
      <c r="M48" s="5"/>
      <c r="N48" s="87"/>
    </row>
    <row r="49" spans="4:14" x14ac:dyDescent="0.25">
      <c r="D49" s="19" t="s">
        <v>6</v>
      </c>
      <c r="E49" s="5"/>
      <c r="F49" s="5"/>
      <c r="G49" s="5"/>
      <c r="H49" s="11">
        <v>125000</v>
      </c>
      <c r="I49" s="11"/>
      <c r="J49" s="11"/>
      <c r="K49" s="11"/>
      <c r="L49" s="11"/>
      <c r="M49" s="11"/>
      <c r="N49" s="43">
        <f t="shared" ref="N49:N52" si="8">SUM(H49:M49)</f>
        <v>125000</v>
      </c>
    </row>
    <row r="50" spans="4:14" x14ac:dyDescent="0.25">
      <c r="D50" s="19" t="s">
        <v>8</v>
      </c>
      <c r="E50" s="5"/>
      <c r="F50" s="5"/>
      <c r="G50" s="5"/>
      <c r="H50" s="11"/>
      <c r="I50" s="11">
        <v>397034</v>
      </c>
      <c r="J50" s="11"/>
      <c r="K50" s="11">
        <v>252420</v>
      </c>
      <c r="L50" s="11"/>
      <c r="M50" s="11"/>
      <c r="N50" s="43">
        <f t="shared" si="8"/>
        <v>649454</v>
      </c>
    </row>
    <row r="51" spans="4:14" x14ac:dyDescent="0.25">
      <c r="D51" s="19" t="s">
        <v>9</v>
      </c>
      <c r="E51" s="5"/>
      <c r="F51" s="5"/>
      <c r="G51" s="5"/>
      <c r="H51" s="11"/>
      <c r="I51" s="11"/>
      <c r="J51" s="11">
        <v>149481</v>
      </c>
      <c r="K51" s="11"/>
      <c r="L51" s="11"/>
      <c r="M51" s="11"/>
      <c r="N51" s="43">
        <f t="shared" si="8"/>
        <v>149481</v>
      </c>
    </row>
    <row r="52" spans="4:14" x14ac:dyDescent="0.25">
      <c r="D52" s="19" t="s">
        <v>10</v>
      </c>
      <c r="E52" s="5"/>
      <c r="F52" s="5"/>
      <c r="G52" s="5"/>
      <c r="H52" s="11"/>
      <c r="I52" s="11">
        <v>424824</v>
      </c>
      <c r="J52" s="11">
        <v>856057</v>
      </c>
      <c r="K52" s="11"/>
      <c r="L52" s="11"/>
      <c r="M52" s="11"/>
      <c r="N52" s="43">
        <f t="shared" si="8"/>
        <v>1280881</v>
      </c>
    </row>
    <row r="53" spans="4:14" x14ac:dyDescent="0.25">
      <c r="D53" s="19" t="s">
        <v>11</v>
      </c>
      <c r="E53" s="5"/>
      <c r="F53" s="5"/>
      <c r="G53" s="5"/>
      <c r="H53" s="11">
        <v>425000</v>
      </c>
      <c r="I53" s="11"/>
      <c r="J53" s="11"/>
      <c r="K53" s="11"/>
      <c r="L53" s="11"/>
      <c r="M53" s="11"/>
      <c r="N53" s="43">
        <f t="shared" ref="N53:N59" si="9">SUM(H53:M53)</f>
        <v>425000</v>
      </c>
    </row>
    <row r="54" spans="4:14" x14ac:dyDescent="0.25">
      <c r="D54" s="19" t="s">
        <v>13</v>
      </c>
      <c r="E54" s="5"/>
      <c r="F54" s="5"/>
      <c r="G54" s="5"/>
      <c r="H54" s="11">
        <v>255000</v>
      </c>
      <c r="I54" s="11"/>
      <c r="J54" s="11"/>
      <c r="K54" s="11"/>
      <c r="L54" s="11"/>
      <c r="M54" s="11"/>
      <c r="N54" s="43">
        <f t="shared" si="9"/>
        <v>255000</v>
      </c>
    </row>
    <row r="55" spans="4:14" x14ac:dyDescent="0.25">
      <c r="D55" s="19" t="s">
        <v>14</v>
      </c>
      <c r="E55" s="5"/>
      <c r="F55" s="5"/>
      <c r="G55" s="5"/>
      <c r="H55" s="11">
        <v>350000</v>
      </c>
      <c r="I55" s="11">
        <v>300000</v>
      </c>
      <c r="J55" s="11">
        <v>290000</v>
      </c>
      <c r="K55" s="11"/>
      <c r="L55" s="11"/>
      <c r="M55" s="11"/>
      <c r="N55" s="43">
        <f t="shared" si="9"/>
        <v>940000</v>
      </c>
    </row>
    <row r="56" spans="4:14" x14ac:dyDescent="0.25">
      <c r="D56" s="19" t="s">
        <v>15</v>
      </c>
      <c r="E56" s="5"/>
      <c r="F56" s="5"/>
      <c r="G56" s="5"/>
      <c r="H56" s="11">
        <v>37948</v>
      </c>
      <c r="I56" s="11">
        <v>42042</v>
      </c>
      <c r="J56" s="11">
        <v>28815</v>
      </c>
      <c r="K56" s="11"/>
      <c r="L56" s="11"/>
      <c r="M56" s="11"/>
      <c r="N56" s="43">
        <f t="shared" si="9"/>
        <v>108805</v>
      </c>
    </row>
    <row r="57" spans="4:14" x14ac:dyDescent="0.25">
      <c r="D57" s="19" t="s">
        <v>16</v>
      </c>
      <c r="E57" s="5"/>
      <c r="F57" s="5"/>
      <c r="G57" s="5"/>
      <c r="H57" s="11">
        <v>50006</v>
      </c>
      <c r="I57" s="11">
        <v>30875</v>
      </c>
      <c r="J57" s="11">
        <v>43837</v>
      </c>
      <c r="K57" s="11">
        <v>4873</v>
      </c>
      <c r="L57" s="11"/>
      <c r="M57" s="11"/>
      <c r="N57" s="43">
        <f t="shared" si="9"/>
        <v>129591</v>
      </c>
    </row>
    <row r="58" spans="4:14" x14ac:dyDescent="0.25">
      <c r="D58" s="19" t="s">
        <v>17</v>
      </c>
      <c r="E58" s="5"/>
      <c r="F58" s="5"/>
      <c r="G58" s="5"/>
      <c r="H58" s="4"/>
      <c r="I58" s="4">
        <v>110338</v>
      </c>
      <c r="J58" s="4">
        <v>150000</v>
      </c>
      <c r="K58" s="4"/>
      <c r="L58" s="4"/>
      <c r="M58" s="4"/>
      <c r="N58" s="88">
        <f t="shared" si="9"/>
        <v>260338</v>
      </c>
    </row>
    <row r="59" spans="4:14" x14ac:dyDescent="0.25">
      <c r="D59" s="19"/>
      <c r="E59" s="5"/>
      <c r="F59" s="5"/>
      <c r="G59" s="5"/>
      <c r="H59" s="27">
        <f t="shared" ref="H59:M59" si="10">SUM(H49:H58)</f>
        <v>1242954</v>
      </c>
      <c r="I59" s="27">
        <f t="shared" si="10"/>
        <v>1305113</v>
      </c>
      <c r="J59" s="27">
        <f t="shared" si="10"/>
        <v>1518190</v>
      </c>
      <c r="K59" s="27">
        <f t="shared" si="10"/>
        <v>257293</v>
      </c>
      <c r="L59" s="27">
        <f t="shared" si="10"/>
        <v>0</v>
      </c>
      <c r="M59" s="27">
        <f t="shared" si="10"/>
        <v>0</v>
      </c>
      <c r="N59" s="89">
        <f t="shared" si="9"/>
        <v>4323550</v>
      </c>
    </row>
    <row r="60" spans="4:14" x14ac:dyDescent="0.25">
      <c r="D60" s="17" t="s">
        <v>32</v>
      </c>
      <c r="E60" s="52"/>
      <c r="F60" s="5"/>
      <c r="G60" s="5"/>
      <c r="H60" s="11"/>
      <c r="I60" s="11"/>
      <c r="J60" s="11"/>
      <c r="K60" s="11"/>
      <c r="L60" s="11"/>
      <c r="M60" s="11"/>
      <c r="N60" s="43"/>
    </row>
    <row r="61" spans="4:14" x14ac:dyDescent="0.25">
      <c r="D61" s="19" t="s">
        <v>22</v>
      </c>
      <c r="E61" s="5"/>
      <c r="F61" s="5"/>
      <c r="G61" s="5"/>
      <c r="H61" s="11"/>
      <c r="I61" s="11"/>
      <c r="J61" s="11"/>
      <c r="K61" s="11"/>
      <c r="L61" s="11"/>
      <c r="M61" s="11"/>
      <c r="N61" s="43"/>
    </row>
    <row r="62" spans="4:14" x14ac:dyDescent="0.25">
      <c r="D62" s="19" t="s">
        <v>23</v>
      </c>
      <c r="E62" s="5"/>
      <c r="F62" s="5"/>
      <c r="G62" s="5"/>
      <c r="H62" s="11"/>
      <c r="I62" s="11"/>
      <c r="J62" s="11"/>
      <c r="K62" s="11"/>
      <c r="L62" s="11"/>
      <c r="M62" s="11"/>
      <c r="N62" s="43"/>
    </row>
    <row r="63" spans="4:14" x14ac:dyDescent="0.25">
      <c r="D63" s="19" t="s">
        <v>36</v>
      </c>
      <c r="E63" s="5"/>
      <c r="F63" s="5"/>
      <c r="G63" s="5"/>
      <c r="H63" s="11"/>
      <c r="I63" s="11"/>
      <c r="J63" s="11"/>
      <c r="K63" s="11"/>
      <c r="L63" s="11"/>
      <c r="M63" s="11"/>
      <c r="N63" s="43"/>
    </row>
    <row r="64" spans="4:14" x14ac:dyDescent="0.25">
      <c r="D64" s="19" t="s">
        <v>33</v>
      </c>
      <c r="E64" s="5"/>
      <c r="F64" s="5"/>
      <c r="G64" s="5"/>
      <c r="H64" s="11"/>
      <c r="I64" s="11"/>
      <c r="J64" s="11"/>
      <c r="K64" s="11"/>
      <c r="L64" s="11"/>
      <c r="M64" s="11"/>
      <c r="N64" s="43"/>
    </row>
    <row r="65" spans="4:15" x14ac:dyDescent="0.25">
      <c r="D65" s="19" t="s">
        <v>34</v>
      </c>
      <c r="E65" s="5"/>
      <c r="F65" s="5"/>
      <c r="G65" s="5"/>
      <c r="H65" s="11"/>
      <c r="I65" s="11"/>
      <c r="J65" s="11"/>
      <c r="K65" s="11"/>
      <c r="L65" s="11"/>
      <c r="M65" s="11"/>
      <c r="N65" s="43"/>
    </row>
    <row r="66" spans="4:15" ht="15.75" thickBot="1" x14ac:dyDescent="0.3">
      <c r="D66" s="29"/>
      <c r="E66" s="30"/>
      <c r="F66" s="30"/>
      <c r="G66" s="30"/>
      <c r="H66" s="31"/>
      <c r="I66" s="31"/>
      <c r="J66" s="31"/>
      <c r="K66" s="31"/>
      <c r="L66" s="31"/>
      <c r="M66" s="31"/>
      <c r="N66" s="90"/>
      <c r="O66" s="12">
        <f>SUM(H66:M66)</f>
        <v>0</v>
      </c>
    </row>
    <row r="67" spans="4:15" x14ac:dyDescent="0.25">
      <c r="H67" s="1"/>
      <c r="I67" s="1"/>
      <c r="J67" s="1"/>
      <c r="K67" s="1"/>
      <c r="L67" s="1"/>
      <c r="M67" s="1"/>
      <c r="N67" s="84"/>
    </row>
    <row r="68" spans="4:15" x14ac:dyDescent="0.25">
      <c r="H68" s="1"/>
      <c r="I68" s="1"/>
      <c r="J68" s="1"/>
      <c r="K68" s="1"/>
      <c r="L68" s="1"/>
      <c r="M68" s="1"/>
      <c r="N68" s="84"/>
    </row>
    <row r="69" spans="4:15" x14ac:dyDescent="0.25">
      <c r="H69" s="1"/>
      <c r="I69" s="1"/>
      <c r="J69" s="1"/>
      <c r="K69" s="1"/>
      <c r="L69" s="1"/>
      <c r="M69" s="1"/>
      <c r="N69" s="84"/>
    </row>
    <row r="70" spans="4:15" x14ac:dyDescent="0.25">
      <c r="H70" s="1"/>
      <c r="I70" s="1"/>
      <c r="J70" s="1"/>
      <c r="K70" s="1"/>
      <c r="L70" s="1"/>
      <c r="M70" s="1"/>
      <c r="N70" s="84"/>
    </row>
    <row r="71" spans="4:15" x14ac:dyDescent="0.25">
      <c r="H71" s="1"/>
      <c r="I71" s="1"/>
      <c r="J71" s="1"/>
      <c r="K71" s="1"/>
      <c r="L71" s="1"/>
      <c r="M71" s="1"/>
      <c r="N71" s="84"/>
    </row>
    <row r="72" spans="4:15" x14ac:dyDescent="0.25">
      <c r="H72" s="1"/>
      <c r="I72" s="1"/>
      <c r="J72" s="1"/>
      <c r="K72" s="1"/>
      <c r="L72" s="1"/>
      <c r="M72" s="1"/>
      <c r="N72" s="84"/>
    </row>
    <row r="73" spans="4:15" x14ac:dyDescent="0.25">
      <c r="H73" s="1"/>
      <c r="I73" s="1"/>
      <c r="J73" s="1"/>
      <c r="K73" s="1"/>
      <c r="L73" s="1"/>
      <c r="M73" s="1"/>
      <c r="N73" s="84"/>
    </row>
    <row r="74" spans="4:15" x14ac:dyDescent="0.25">
      <c r="H74" s="1"/>
      <c r="I74" s="1"/>
      <c r="J74" s="1"/>
      <c r="K74" s="1"/>
      <c r="L74" s="1"/>
      <c r="M74" s="1"/>
      <c r="N74" s="84"/>
    </row>
    <row r="75" spans="4:15" x14ac:dyDescent="0.25">
      <c r="H75" s="1"/>
      <c r="I75" s="1"/>
      <c r="J75" s="1"/>
      <c r="K75" s="1"/>
      <c r="L75" s="1"/>
      <c r="M75" s="1"/>
      <c r="N75" s="84"/>
    </row>
    <row r="76" spans="4:15" x14ac:dyDescent="0.25">
      <c r="H76" s="1"/>
      <c r="I76" s="1"/>
      <c r="J76" s="1"/>
      <c r="K76" s="1"/>
      <c r="L76" s="1"/>
      <c r="M76" s="1"/>
      <c r="N76" s="84"/>
    </row>
    <row r="77" spans="4:15" x14ac:dyDescent="0.25">
      <c r="H77" s="1"/>
      <c r="I77" s="1"/>
      <c r="J77" s="1"/>
      <c r="K77" s="1"/>
      <c r="L77" s="1"/>
      <c r="M77" s="1"/>
      <c r="N77" s="84"/>
    </row>
    <row r="78" spans="4:15" x14ac:dyDescent="0.25">
      <c r="H78" s="1"/>
      <c r="I78" s="1"/>
      <c r="J78" s="1"/>
      <c r="K78" s="1"/>
      <c r="L78" s="1"/>
      <c r="M78" s="1"/>
      <c r="N78" s="84"/>
    </row>
    <row r="79" spans="4:15" x14ac:dyDescent="0.25">
      <c r="H79" s="1"/>
      <c r="I79" s="1"/>
      <c r="J79" s="1"/>
      <c r="K79" s="1"/>
      <c r="L79" s="1"/>
      <c r="M79" s="1"/>
      <c r="N79" s="84"/>
    </row>
    <row r="80" spans="4:15" x14ac:dyDescent="0.25">
      <c r="H80" s="1"/>
      <c r="I80" s="1"/>
      <c r="J80" s="1"/>
      <c r="K80" s="1"/>
      <c r="L80" s="1"/>
      <c r="M80" s="1"/>
      <c r="N80" s="84"/>
    </row>
    <row r="81" spans="8:14" x14ac:dyDescent="0.25">
      <c r="H81" s="1"/>
      <c r="I81" s="1"/>
      <c r="J81" s="1"/>
      <c r="K81" s="1"/>
      <c r="L81" s="1"/>
      <c r="M81" s="1"/>
      <c r="N81" s="84"/>
    </row>
    <row r="82" spans="8:14" x14ac:dyDescent="0.25">
      <c r="H82" s="1"/>
      <c r="I82" s="1"/>
      <c r="J82" s="1"/>
      <c r="K82" s="1"/>
      <c r="L82" s="1"/>
      <c r="M82" s="1"/>
      <c r="N82" s="84"/>
    </row>
    <row r="83" spans="8:14" x14ac:dyDescent="0.25">
      <c r="H83" s="1"/>
      <c r="I83" s="1"/>
      <c r="J83" s="1"/>
      <c r="K83" s="1"/>
      <c r="L83" s="1"/>
      <c r="M83" s="1"/>
      <c r="N83" s="84"/>
    </row>
    <row r="84" spans="8:14" x14ac:dyDescent="0.25">
      <c r="H84" s="1"/>
      <c r="I84" s="1"/>
      <c r="J84" s="1"/>
      <c r="K84" s="1"/>
      <c r="L84" s="1"/>
      <c r="M84" s="1"/>
      <c r="N84" s="84"/>
    </row>
    <row r="85" spans="8:14" x14ac:dyDescent="0.25">
      <c r="H85" s="1"/>
      <c r="I85" s="1"/>
      <c r="J85" s="1"/>
      <c r="K85" s="1"/>
      <c r="L85" s="1"/>
      <c r="M85" s="1"/>
      <c r="N85" s="84"/>
    </row>
    <row r="86" spans="8:14" x14ac:dyDescent="0.25">
      <c r="H86" s="1"/>
      <c r="I86" s="1"/>
      <c r="J86" s="1"/>
      <c r="K86" s="1"/>
      <c r="L86" s="1"/>
      <c r="M86" s="1"/>
      <c r="N86" s="84"/>
    </row>
    <row r="87" spans="8:14" x14ac:dyDescent="0.25">
      <c r="H87" s="1"/>
      <c r="I87" s="1"/>
      <c r="J87" s="1"/>
      <c r="K87" s="1"/>
      <c r="L87" s="1"/>
      <c r="M87" s="1"/>
      <c r="N87" s="84"/>
    </row>
    <row r="88" spans="8:14" x14ac:dyDescent="0.25">
      <c r="H88" s="1"/>
      <c r="I88" s="1"/>
      <c r="J88" s="1"/>
      <c r="K88" s="1"/>
      <c r="L88" s="1"/>
      <c r="M88" s="1"/>
      <c r="N88" s="84"/>
    </row>
    <row r="89" spans="8:14" x14ac:dyDescent="0.25">
      <c r="H89" s="1"/>
      <c r="I89" s="1"/>
      <c r="J89" s="1"/>
      <c r="K89" s="1"/>
      <c r="L89" s="1"/>
      <c r="M89" s="1"/>
      <c r="N89" s="84"/>
    </row>
    <row r="90" spans="8:14" x14ac:dyDescent="0.25">
      <c r="H90" s="1"/>
      <c r="I90" s="1"/>
      <c r="J90" s="1"/>
      <c r="K90" s="1"/>
      <c r="L90" s="1"/>
      <c r="M90" s="1"/>
      <c r="N90" s="84"/>
    </row>
    <row r="91" spans="8:14" x14ac:dyDescent="0.25">
      <c r="H91" s="1"/>
      <c r="I91" s="1"/>
      <c r="J91" s="1"/>
      <c r="K91" s="1"/>
      <c r="L91" s="1"/>
      <c r="M91" s="1"/>
      <c r="N91" s="84"/>
    </row>
    <row r="92" spans="8:14" x14ac:dyDescent="0.25">
      <c r="H92" s="1"/>
      <c r="I92" s="1"/>
      <c r="J92" s="1"/>
      <c r="K92" s="1"/>
      <c r="L92" s="1"/>
      <c r="M92" s="1"/>
      <c r="N92" s="84"/>
    </row>
    <row r="93" spans="8:14" x14ac:dyDescent="0.25">
      <c r="H93" s="1"/>
      <c r="I93" s="1"/>
      <c r="J93" s="1"/>
      <c r="K93" s="1"/>
      <c r="L93" s="1"/>
      <c r="M93" s="1"/>
      <c r="N93" s="84"/>
    </row>
    <row r="94" spans="8:14" x14ac:dyDescent="0.25">
      <c r="H94" s="1"/>
      <c r="I94" s="1"/>
      <c r="J94" s="1"/>
      <c r="K94" s="1"/>
      <c r="L94" s="1"/>
      <c r="M94" s="1"/>
      <c r="N94" s="84"/>
    </row>
    <row r="95" spans="8:14" x14ac:dyDescent="0.25">
      <c r="H95" s="1"/>
      <c r="I95" s="1"/>
      <c r="J95" s="1"/>
      <c r="K95" s="1"/>
      <c r="L95" s="1"/>
      <c r="M95" s="1"/>
      <c r="N95" s="84"/>
    </row>
    <row r="96" spans="8:14" x14ac:dyDescent="0.25">
      <c r="H96" s="1"/>
      <c r="I96" s="1"/>
      <c r="J96" s="1"/>
      <c r="K96" s="1"/>
      <c r="L96" s="1"/>
      <c r="M96" s="1"/>
      <c r="N96" s="84"/>
    </row>
  </sheetData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X98"/>
  <sheetViews>
    <sheetView tabSelected="1" view="pageLayout" zoomScaleNormal="100" workbookViewId="0">
      <selection activeCell="D3" sqref="D3"/>
    </sheetView>
  </sheetViews>
  <sheetFormatPr defaultRowHeight="15" x14ac:dyDescent="0.25"/>
  <cols>
    <col min="4" max="4" width="48.5703125" customWidth="1"/>
    <col min="5" max="5" width="3.42578125" customWidth="1"/>
    <col min="6" max="7" width="12.85546875" hidden="1" customWidth="1"/>
    <col min="8" max="8" width="12.42578125" customWidth="1"/>
    <col min="9" max="9" width="12.140625" customWidth="1"/>
    <col min="10" max="10" width="12.42578125" bestFit="1" customWidth="1"/>
    <col min="11" max="11" width="11.28515625" bestFit="1" customWidth="1"/>
    <col min="12" max="12" width="13.28515625" bestFit="1" customWidth="1"/>
    <col min="13" max="13" width="12.42578125" bestFit="1" customWidth="1"/>
    <col min="14" max="14" width="12.85546875" style="91" bestFit="1" customWidth="1"/>
    <col min="15" max="15" width="12.7109375" bestFit="1" customWidth="1"/>
    <col min="16" max="16" width="10.7109375" bestFit="1" customWidth="1"/>
    <col min="17" max="17" width="16.140625" customWidth="1"/>
    <col min="18" max="18" width="11.28515625" bestFit="1" customWidth="1"/>
    <col min="21" max="21" width="15.28515625" bestFit="1" customWidth="1"/>
    <col min="22" max="22" width="11.5703125" customWidth="1"/>
  </cols>
  <sheetData>
    <row r="3" spans="4:24" ht="15.75" thickBot="1" x14ac:dyDescent="0.3">
      <c r="H3" s="1"/>
      <c r="I3" s="1"/>
      <c r="J3" s="1"/>
      <c r="K3" s="1"/>
      <c r="L3" s="1"/>
      <c r="M3" s="1"/>
      <c r="N3" s="84"/>
    </row>
    <row r="4" spans="4:24" x14ac:dyDescent="0.25">
      <c r="D4" s="53" t="s">
        <v>74</v>
      </c>
      <c r="E4" s="54"/>
      <c r="F4" s="55"/>
      <c r="G4" s="55"/>
      <c r="H4" s="56"/>
      <c r="I4" s="56"/>
      <c r="J4" s="56"/>
      <c r="K4" s="56"/>
      <c r="L4" s="56"/>
      <c r="M4" s="56"/>
      <c r="N4" s="85"/>
    </row>
    <row r="5" spans="4:24" x14ac:dyDescent="0.25">
      <c r="D5" s="57"/>
      <c r="E5" s="58"/>
      <c r="F5" s="59"/>
      <c r="G5" s="59"/>
      <c r="H5" s="60"/>
      <c r="I5" s="60"/>
      <c r="J5" s="60"/>
      <c r="K5" s="60"/>
      <c r="L5" s="60"/>
      <c r="M5" s="60"/>
      <c r="N5" s="86"/>
    </row>
    <row r="6" spans="4:24" x14ac:dyDescent="0.25">
      <c r="D6" s="61"/>
      <c r="E6" s="62"/>
      <c r="F6" s="62" t="s">
        <v>67</v>
      </c>
      <c r="G6" s="62" t="s">
        <v>68</v>
      </c>
      <c r="H6" s="63" t="s">
        <v>0</v>
      </c>
      <c r="I6" s="63" t="s">
        <v>1</v>
      </c>
      <c r="J6" s="63" t="s">
        <v>2</v>
      </c>
      <c r="K6" s="63" t="s">
        <v>3</v>
      </c>
      <c r="L6" s="63" t="s">
        <v>4</v>
      </c>
      <c r="M6" s="63" t="s">
        <v>5</v>
      </c>
      <c r="N6" s="64" t="s">
        <v>7</v>
      </c>
      <c r="O6" t="s">
        <v>25</v>
      </c>
      <c r="T6" t="s">
        <v>0</v>
      </c>
      <c r="U6" t="s">
        <v>1</v>
      </c>
      <c r="V6" t="s">
        <v>2</v>
      </c>
      <c r="W6" t="s">
        <v>3</v>
      </c>
    </row>
    <row r="7" spans="4:24" x14ac:dyDescent="0.25">
      <c r="D7" s="61" t="s">
        <v>48</v>
      </c>
      <c r="E7" s="62"/>
      <c r="F7" s="62"/>
      <c r="G7" s="62"/>
      <c r="H7" s="65">
        <f>$N$7*T8</f>
        <v>267685.08697960112</v>
      </c>
      <c r="I7" s="65">
        <f>$N$7*U8</f>
        <v>199499.1189049822</v>
      </c>
      <c r="J7" s="65">
        <f>$N$7*V8</f>
        <v>224039.60938803366</v>
      </c>
      <c r="K7" s="65">
        <f>$N$7*W8</f>
        <v>18459.184727383028</v>
      </c>
      <c r="L7" s="65"/>
      <c r="M7" s="65"/>
      <c r="N7" s="72">
        <v>709683</v>
      </c>
      <c r="O7" s="2">
        <f t="shared" ref="O7:O8" si="0">SUM(H7:M7)</f>
        <v>709683</v>
      </c>
      <c r="S7" t="s">
        <v>24</v>
      </c>
      <c r="T7">
        <v>4974</v>
      </c>
      <c r="U7">
        <v>3707</v>
      </c>
      <c r="V7">
        <v>4163</v>
      </c>
      <c r="W7">
        <v>343</v>
      </c>
      <c r="X7">
        <f>SUM(T7:W7)</f>
        <v>13187</v>
      </c>
    </row>
    <row r="8" spans="4:24" x14ac:dyDescent="0.25">
      <c r="D8" s="61" t="s">
        <v>57</v>
      </c>
      <c r="E8" s="62"/>
      <c r="F8" s="62"/>
      <c r="G8" s="62"/>
      <c r="H8" s="65">
        <f>$N$8*T8</f>
        <v>305887.60976719495</v>
      </c>
      <c r="I8" s="65">
        <f t="shared" ref="I8:K8" si="1">$N$8*U8</f>
        <v>227970.52058845834</v>
      </c>
      <c r="J8" s="65">
        <f t="shared" si="1"/>
        <v>256013.29301584893</v>
      </c>
      <c r="K8" s="65">
        <f t="shared" si="1"/>
        <v>21093.576628497762</v>
      </c>
      <c r="L8" s="65"/>
      <c r="M8" s="65"/>
      <c r="N8" s="72">
        <v>810965</v>
      </c>
      <c r="O8" s="2">
        <f t="shared" si="0"/>
        <v>810965.00000000012</v>
      </c>
      <c r="T8" s="3">
        <f>T7/$X$7</f>
        <v>0.37718965647986652</v>
      </c>
      <c r="U8" s="3">
        <f>U7/$X$7</f>
        <v>0.28111018427238949</v>
      </c>
      <c r="V8" s="3">
        <f>V7/$X$7</f>
        <v>0.31568969439599603</v>
      </c>
      <c r="W8" s="3">
        <f>W7/$X$7</f>
        <v>2.6010464851747933E-2</v>
      </c>
      <c r="X8" s="3">
        <f>X7/$X$7</f>
        <v>1</v>
      </c>
    </row>
    <row r="9" spans="4:24" x14ac:dyDescent="0.25">
      <c r="D9" s="61" t="s">
        <v>21</v>
      </c>
      <c r="E9" s="62"/>
      <c r="F9" s="62"/>
      <c r="G9" s="62"/>
      <c r="H9" s="65">
        <f>$N$9*T8</f>
        <v>-565784.48471979983</v>
      </c>
      <c r="I9" s="65">
        <f>$N$9*U8</f>
        <v>-421665.27640858421</v>
      </c>
      <c r="J9" s="65">
        <f>$N$9*V8</f>
        <v>-473534.54159399407</v>
      </c>
      <c r="K9" s="65">
        <f>$N$9*W8</f>
        <v>-39015.697277621897</v>
      </c>
      <c r="L9" s="65"/>
      <c r="M9" s="65"/>
      <c r="N9" s="72">
        <v>-1500000</v>
      </c>
      <c r="O9" s="2">
        <f>SUM(H9:M9)</f>
        <v>-1500000</v>
      </c>
    </row>
    <row r="10" spans="4:24" x14ac:dyDescent="0.25">
      <c r="D10" s="66" t="s">
        <v>41</v>
      </c>
      <c r="E10" s="59"/>
      <c r="F10" s="59"/>
      <c r="G10" s="59"/>
      <c r="H10" s="67">
        <f>'Governor''s Budget'!F7</f>
        <v>-203682.41449912792</v>
      </c>
      <c r="I10" s="65">
        <f>'Governor''s Budget'!G7</f>
        <v>-151799.49950709031</v>
      </c>
      <c r="J10" s="67">
        <f>'Governor''s Budget'!H7</f>
        <v>-170472.43497383787</v>
      </c>
      <c r="K10" s="67">
        <f>'Governor''s Budget'!I7</f>
        <v>-14045.651019943884</v>
      </c>
      <c r="L10" s="67"/>
      <c r="M10" s="67"/>
      <c r="N10" s="72">
        <f>'Governor''s Budget'!L7</f>
        <v>-540000</v>
      </c>
      <c r="O10" s="2">
        <f>SUM(H10:M10)</f>
        <v>-540000</v>
      </c>
    </row>
    <row r="11" spans="4:24" x14ac:dyDescent="0.25">
      <c r="D11" s="61" t="s">
        <v>20</v>
      </c>
      <c r="E11" s="62"/>
      <c r="F11" s="62"/>
      <c r="G11" s="62"/>
      <c r="H11" s="65">
        <v>-195431</v>
      </c>
      <c r="I11" s="65">
        <v>-116276</v>
      </c>
      <c r="J11" s="65">
        <v>-117137</v>
      </c>
      <c r="K11" s="65">
        <v>-541156</v>
      </c>
      <c r="L11" s="65"/>
      <c r="M11" s="65"/>
      <c r="N11" s="72">
        <f>SUM(H11:M11)</f>
        <v>-970000</v>
      </c>
      <c r="O11" s="2">
        <f>SUM(H11:M11)</f>
        <v>-970000</v>
      </c>
      <c r="S11" t="s">
        <v>42</v>
      </c>
    </row>
    <row r="12" spans="4:24" x14ac:dyDescent="0.25">
      <c r="D12" s="61" t="s">
        <v>30</v>
      </c>
      <c r="E12" s="62"/>
      <c r="F12" s="68">
        <f>SUM(I9:I11)</f>
        <v>-689740.77591567452</v>
      </c>
      <c r="G12" s="68">
        <f>SUM(I7:I8)</f>
        <v>427469.63949344051</v>
      </c>
      <c r="H12" s="69">
        <f t="shared" ref="H12:O12" si="2">SUM(H7:H11)</f>
        <v>-391325.20247213158</v>
      </c>
      <c r="I12" s="70">
        <f t="shared" si="2"/>
        <v>-262271.13642223401</v>
      </c>
      <c r="J12" s="70">
        <f t="shared" si="2"/>
        <v>-281091.07416394935</v>
      </c>
      <c r="K12" s="70">
        <f t="shared" si="2"/>
        <v>-554664.58694168495</v>
      </c>
      <c r="L12" s="70">
        <f t="shared" si="2"/>
        <v>0</v>
      </c>
      <c r="M12" s="70">
        <f t="shared" si="2"/>
        <v>0</v>
      </c>
      <c r="N12" s="71">
        <f t="shared" si="2"/>
        <v>-1489352</v>
      </c>
      <c r="O12" s="8">
        <f t="shared" si="2"/>
        <v>-1489352</v>
      </c>
      <c r="S12" t="s">
        <v>43</v>
      </c>
      <c r="U12" s="34">
        <v>90000000</v>
      </c>
    </row>
    <row r="13" spans="4:24" x14ac:dyDescent="0.25">
      <c r="D13" s="61"/>
      <c r="E13" s="62"/>
      <c r="F13" s="62"/>
      <c r="G13" s="62"/>
      <c r="H13" s="65"/>
      <c r="I13" s="65"/>
      <c r="J13" s="65"/>
      <c r="K13" s="65"/>
      <c r="L13" s="65"/>
      <c r="M13" s="65"/>
      <c r="N13" s="72"/>
      <c r="O13" s="8"/>
      <c r="S13" t="s">
        <v>44</v>
      </c>
      <c r="U13" s="35">
        <v>0.3</v>
      </c>
    </row>
    <row r="14" spans="4:24" x14ac:dyDescent="0.25">
      <c r="D14" s="61" t="s">
        <v>37</v>
      </c>
      <c r="E14" s="62"/>
      <c r="F14" s="68">
        <f>+I14</f>
        <v>-140555.09213619475</v>
      </c>
      <c r="G14" s="68">
        <v>0</v>
      </c>
      <c r="H14" s="73">
        <f>-$Q$14*T8</f>
        <v>-188594.82823993327</v>
      </c>
      <c r="I14" s="73">
        <f>-$Q$14*U8</f>
        <v>-140555.09213619475</v>
      </c>
      <c r="J14" s="73">
        <f>-$Q$14*V8</f>
        <v>-157844.84719799802</v>
      </c>
      <c r="K14" s="73">
        <f>-$Q$14*W8</f>
        <v>-13005.232425873966</v>
      </c>
      <c r="L14" s="73">
        <f>Q14-M14</f>
        <v>459536</v>
      </c>
      <c r="M14" s="73">
        <v>40464</v>
      </c>
      <c r="N14" s="74">
        <f>SUM(H14:M14)</f>
        <v>-5.8207660913467407E-11</v>
      </c>
      <c r="O14" s="8">
        <f>SUM(H14:N14)</f>
        <v>-1.1641532182693481E-10</v>
      </c>
      <c r="Q14">
        <v>500000</v>
      </c>
      <c r="S14" t="s">
        <v>45</v>
      </c>
      <c r="U14" s="35">
        <v>0.02</v>
      </c>
    </row>
    <row r="15" spans="4:24" x14ac:dyDescent="0.25">
      <c r="D15" s="61"/>
      <c r="E15" s="62"/>
      <c r="F15" s="68">
        <f>+F12+F14</f>
        <v>-830295.86805186933</v>
      </c>
      <c r="G15" s="68">
        <f>+G12+G14</f>
        <v>427469.63949344051</v>
      </c>
      <c r="H15" s="65">
        <f>SUM(H12:H14)</f>
        <v>-579920.03071206482</v>
      </c>
      <c r="I15" s="65">
        <f>SUM(I12:I14)</f>
        <v>-402826.22855842876</v>
      </c>
      <c r="J15" s="65">
        <f>SUM(J12:J14)</f>
        <v>-438935.92136194737</v>
      </c>
      <c r="K15" s="65">
        <f>SUM(K12:K14)</f>
        <v>-567669.81936755893</v>
      </c>
      <c r="L15" s="65">
        <f>SUM(L12:L14)</f>
        <v>459536</v>
      </c>
      <c r="M15" s="65">
        <f>M12+M14</f>
        <v>40464</v>
      </c>
      <c r="N15" s="72">
        <f>SUM(N12:N14)</f>
        <v>-1489352</v>
      </c>
      <c r="U15" s="36">
        <f>U12*U13*U14</f>
        <v>540000</v>
      </c>
    </row>
    <row r="16" spans="4:24" x14ac:dyDescent="0.25">
      <c r="D16" s="61"/>
      <c r="E16" s="62"/>
      <c r="F16" s="62"/>
      <c r="G16" s="62"/>
      <c r="H16" s="65"/>
      <c r="I16" s="65"/>
      <c r="J16" s="65"/>
      <c r="K16" s="65"/>
      <c r="L16" s="65"/>
      <c r="M16" s="65"/>
      <c r="N16" s="72"/>
      <c r="U16" s="36"/>
    </row>
    <row r="17" spans="4:22" x14ac:dyDescent="0.25">
      <c r="D17" s="75" t="s">
        <v>60</v>
      </c>
      <c r="E17" s="76"/>
      <c r="F17" s="62"/>
      <c r="G17" s="62"/>
      <c r="H17" s="65"/>
      <c r="I17" s="65"/>
      <c r="J17" s="65"/>
      <c r="K17" s="65"/>
      <c r="L17" s="65"/>
      <c r="M17" s="65"/>
      <c r="N17" s="72"/>
      <c r="U17" s="36"/>
    </row>
    <row r="18" spans="4:22" x14ac:dyDescent="0.25">
      <c r="D18" s="61" t="s">
        <v>76</v>
      </c>
      <c r="E18" s="62"/>
      <c r="F18" s="68">
        <f>+I18</f>
        <v>-1040241</v>
      </c>
      <c r="G18" s="68"/>
      <c r="H18" s="65">
        <f>-1005794+110637</f>
        <v>-895157</v>
      </c>
      <c r="I18" s="65">
        <v>-1040241</v>
      </c>
      <c r="J18" s="65">
        <f>-450000-200000</f>
        <v>-650000</v>
      </c>
      <c r="K18" s="65">
        <v>-181000</v>
      </c>
      <c r="L18" s="65"/>
      <c r="M18" s="65"/>
      <c r="N18" s="72">
        <f>SUM(H18:M18)</f>
        <v>-2766398</v>
      </c>
      <c r="P18" s="65"/>
      <c r="Q18" s="65">
        <v>-2516713</v>
      </c>
      <c r="R18" s="65">
        <f>-450000-200000</f>
        <v>-650000</v>
      </c>
      <c r="S18" s="65"/>
      <c r="T18" s="65"/>
      <c r="U18" s="65"/>
      <c r="V18" s="72">
        <f>SUM(P18:U18)</f>
        <v>-3166713</v>
      </c>
    </row>
    <row r="19" spans="4:22" hidden="1" x14ac:dyDescent="0.25">
      <c r="D19" s="61" t="s">
        <v>65</v>
      </c>
      <c r="E19" s="62"/>
      <c r="F19" s="62"/>
      <c r="G19" s="62"/>
      <c r="H19" s="65"/>
      <c r="I19" s="65"/>
      <c r="J19" s="65"/>
      <c r="K19" s="65"/>
      <c r="L19" s="65"/>
      <c r="M19" s="65"/>
      <c r="N19" s="72">
        <f t="shared" ref="N19:N26" si="3">SUM(H19:M19)</f>
        <v>0</v>
      </c>
      <c r="P19" s="65"/>
      <c r="Q19" s="65"/>
      <c r="R19" s="65"/>
      <c r="S19" s="65"/>
      <c r="T19" s="65"/>
      <c r="U19" s="65"/>
      <c r="V19" s="72">
        <f t="shared" ref="V19:V26" si="4">SUM(P19:U19)</f>
        <v>0</v>
      </c>
    </row>
    <row r="20" spans="4:22" hidden="1" x14ac:dyDescent="0.25">
      <c r="D20" s="61" t="s">
        <v>62</v>
      </c>
      <c r="E20" s="62"/>
      <c r="F20" s="62"/>
      <c r="G20" s="62"/>
      <c r="H20" s="65"/>
      <c r="I20" s="65"/>
      <c r="J20" s="65"/>
      <c r="K20" s="65"/>
      <c r="L20" s="65"/>
      <c r="M20" s="65"/>
      <c r="N20" s="72">
        <f t="shared" si="3"/>
        <v>0</v>
      </c>
      <c r="P20" s="65">
        <v>-1005794</v>
      </c>
      <c r="Q20" s="65">
        <v>1276472</v>
      </c>
      <c r="R20" s="65"/>
      <c r="S20" s="65"/>
      <c r="T20" s="65"/>
      <c r="U20" s="65"/>
      <c r="V20" s="72">
        <f t="shared" si="4"/>
        <v>270678</v>
      </c>
    </row>
    <row r="21" spans="4:22" hidden="1" x14ac:dyDescent="0.25">
      <c r="D21" s="61" t="s">
        <v>63</v>
      </c>
      <c r="E21" s="62"/>
      <c r="F21" s="62"/>
      <c r="G21" s="68">
        <f>SUM(I19:I21)</f>
        <v>0</v>
      </c>
      <c r="H21" s="65"/>
      <c r="I21" s="65"/>
      <c r="J21" s="65"/>
      <c r="K21" s="65"/>
      <c r="L21" s="65"/>
      <c r="M21" s="65"/>
      <c r="N21" s="72">
        <f t="shared" si="3"/>
        <v>0</v>
      </c>
      <c r="P21" s="65"/>
      <c r="Q21" s="65">
        <v>200000</v>
      </c>
      <c r="R21" s="65"/>
      <c r="S21" s="65"/>
      <c r="T21" s="65"/>
      <c r="U21" s="65"/>
      <c r="V21" s="72">
        <f t="shared" si="4"/>
        <v>200000</v>
      </c>
    </row>
    <row r="22" spans="4:22" hidden="1" x14ac:dyDescent="0.25">
      <c r="D22" s="61" t="s">
        <v>69</v>
      </c>
      <c r="E22" s="62"/>
      <c r="F22" s="62"/>
      <c r="G22" s="68"/>
      <c r="H22" s="65"/>
      <c r="I22" s="65"/>
      <c r="J22" s="65"/>
      <c r="K22" s="65"/>
      <c r="L22" s="65"/>
      <c r="M22" s="65"/>
      <c r="N22" s="72">
        <f t="shared" si="3"/>
        <v>0</v>
      </c>
      <c r="P22" s="65">
        <v>110637</v>
      </c>
      <c r="Q22" s="65"/>
      <c r="R22" s="65"/>
      <c r="S22" s="65">
        <v>-181000</v>
      </c>
      <c r="T22" s="65"/>
      <c r="U22" s="65"/>
      <c r="V22" s="72">
        <f t="shared" si="4"/>
        <v>-70363</v>
      </c>
    </row>
    <row r="23" spans="4:22" hidden="1" x14ac:dyDescent="0.25">
      <c r="D23" s="61" t="s">
        <v>71</v>
      </c>
      <c r="E23" s="62"/>
      <c r="F23" s="62"/>
      <c r="G23" s="68"/>
      <c r="H23" s="65"/>
      <c r="I23" s="65"/>
      <c r="J23" s="65">
        <f>-1499516+450000+256013+100000+50000+200000+443503</f>
        <v>0</v>
      </c>
      <c r="K23" s="65"/>
      <c r="L23" s="65"/>
      <c r="M23" s="65"/>
      <c r="N23" s="72">
        <f t="shared" si="3"/>
        <v>0</v>
      </c>
      <c r="P23" s="65"/>
      <c r="Q23" s="65"/>
      <c r="R23" s="65">
        <f>-1499516+450000+256013+100000+50000+200000+443503</f>
        <v>0</v>
      </c>
      <c r="S23" s="65"/>
      <c r="T23" s="65"/>
      <c r="U23" s="65"/>
      <c r="V23" s="72">
        <f t="shared" si="4"/>
        <v>0</v>
      </c>
    </row>
    <row r="24" spans="4:22" hidden="1" x14ac:dyDescent="0.25">
      <c r="D24" s="61" t="s">
        <v>64</v>
      </c>
      <c r="E24" s="62"/>
      <c r="F24" s="62"/>
      <c r="G24" s="62"/>
      <c r="H24" s="65"/>
      <c r="I24" s="65"/>
      <c r="J24" s="65"/>
      <c r="K24" s="65"/>
      <c r="L24" s="65"/>
      <c r="M24" s="65"/>
      <c r="N24" s="72">
        <f t="shared" si="3"/>
        <v>0</v>
      </c>
      <c r="P24" s="65"/>
      <c r="Q24" s="65"/>
      <c r="R24" s="65"/>
      <c r="S24" s="65"/>
      <c r="T24" s="65"/>
      <c r="U24" s="65"/>
      <c r="V24" s="72">
        <f t="shared" si="4"/>
        <v>0</v>
      </c>
    </row>
    <row r="25" spans="4:22" x14ac:dyDescent="0.25">
      <c r="D25" s="61" t="s">
        <v>77</v>
      </c>
      <c r="E25" s="62"/>
      <c r="F25" s="68">
        <f>+I25</f>
        <v>-577165</v>
      </c>
      <c r="G25" s="68"/>
      <c r="H25" s="65"/>
      <c r="I25" s="65">
        <f>-110065-150000-317100</f>
        <v>-577165</v>
      </c>
      <c r="J25" s="65">
        <f>-256013-100000-50000-443503</f>
        <v>-849516</v>
      </c>
      <c r="K25" s="65"/>
      <c r="L25" s="65"/>
      <c r="M25" s="65"/>
      <c r="N25" s="72">
        <f t="shared" si="3"/>
        <v>-1426681</v>
      </c>
      <c r="P25" s="65"/>
      <c r="Q25" s="65">
        <f>-110065-150000-317100</f>
        <v>-577165</v>
      </c>
      <c r="R25" s="65">
        <f>-256013-100000-50000-443503</f>
        <v>-849516</v>
      </c>
      <c r="S25" s="65"/>
      <c r="T25" s="65"/>
      <c r="U25" s="65"/>
      <c r="V25" s="72">
        <f t="shared" si="4"/>
        <v>-1426681</v>
      </c>
    </row>
    <row r="26" spans="4:22" x14ac:dyDescent="0.25">
      <c r="D26" s="61" t="s">
        <v>75</v>
      </c>
      <c r="E26" s="62"/>
      <c r="F26" s="62"/>
      <c r="G26" s="68">
        <f>+I26</f>
        <v>421665</v>
      </c>
      <c r="H26" s="73">
        <f>-1*H9</f>
        <v>565784.48471979983</v>
      </c>
      <c r="I26" s="73">
        <v>421665</v>
      </c>
      <c r="J26" s="73">
        <v>473535</v>
      </c>
      <c r="K26" s="73">
        <f>-1*K9</f>
        <v>39015.697277621897</v>
      </c>
      <c r="L26" s="73"/>
      <c r="M26" s="73"/>
      <c r="N26" s="74">
        <f t="shared" si="3"/>
        <v>1500000.1819974217</v>
      </c>
      <c r="P26" s="73">
        <f>-1*P9</f>
        <v>0</v>
      </c>
      <c r="Q26" s="73">
        <v>421665</v>
      </c>
      <c r="R26" s="73">
        <v>473535</v>
      </c>
      <c r="S26" s="73">
        <f>-1*S9</f>
        <v>0</v>
      </c>
      <c r="T26" s="73"/>
      <c r="U26" s="73"/>
      <c r="V26" s="74">
        <f t="shared" si="4"/>
        <v>895200</v>
      </c>
    </row>
    <row r="27" spans="4:22" x14ac:dyDescent="0.25">
      <c r="D27" s="61"/>
      <c r="E27" s="62"/>
      <c r="F27" s="62"/>
      <c r="G27" s="62"/>
      <c r="H27" s="65">
        <f>SUM(H15:H26)</f>
        <v>-909292.54599226499</v>
      </c>
      <c r="I27" s="65">
        <f t="shared" ref="I27:M27" si="5">SUM(I15:I26)</f>
        <v>-1598567.2285584288</v>
      </c>
      <c r="J27" s="65">
        <f t="shared" si="5"/>
        <v>-1464916.9213619474</v>
      </c>
      <c r="K27" s="65">
        <f t="shared" si="5"/>
        <v>-709654.12208993698</v>
      </c>
      <c r="L27" s="65">
        <f t="shared" si="5"/>
        <v>459536</v>
      </c>
      <c r="M27" s="65">
        <f t="shared" si="5"/>
        <v>40464</v>
      </c>
      <c r="N27" s="72">
        <f>SUM(H27:M27)</f>
        <v>-4182430.8180025788</v>
      </c>
      <c r="U27" s="36"/>
    </row>
    <row r="28" spans="4:22" x14ac:dyDescent="0.25">
      <c r="D28" s="61" t="s">
        <v>73</v>
      </c>
      <c r="E28" s="62"/>
      <c r="F28" s="77"/>
      <c r="G28" s="78">
        <f>+I28</f>
        <v>250000</v>
      </c>
      <c r="H28" s="73"/>
      <c r="I28" s="73">
        <v>250000</v>
      </c>
      <c r="J28" s="73"/>
      <c r="K28" s="73"/>
      <c r="L28" s="73"/>
      <c r="M28" s="73"/>
      <c r="N28" s="74">
        <f t="shared" ref="N28" si="6">SUM(H28:M28)</f>
        <v>250000</v>
      </c>
      <c r="U28" s="36"/>
    </row>
    <row r="29" spans="4:22" s="97" customFormat="1" ht="15.75" thickBot="1" x14ac:dyDescent="0.3">
      <c r="D29" s="92" t="s">
        <v>78</v>
      </c>
      <c r="E29" s="93"/>
      <c r="F29" s="94">
        <f>SUM(F15:F28)</f>
        <v>-2447701.8680518693</v>
      </c>
      <c r="G29" s="94">
        <f>SUM(G15:G28)</f>
        <v>1099134.6394934405</v>
      </c>
      <c r="H29" s="95">
        <f>SUM(H27:H28)</f>
        <v>-909292.54599226499</v>
      </c>
      <c r="I29" s="95">
        <f t="shared" ref="I29:N29" si="7">SUM(I27:I28)</f>
        <v>-1348567.2285584288</v>
      </c>
      <c r="J29" s="95">
        <f t="shared" si="7"/>
        <v>-1464916.9213619474</v>
      </c>
      <c r="K29" s="95">
        <f t="shared" si="7"/>
        <v>-709654.12208993698</v>
      </c>
      <c r="L29" s="95">
        <f t="shared" si="7"/>
        <v>459536</v>
      </c>
      <c r="M29" s="95">
        <f t="shared" si="7"/>
        <v>40464</v>
      </c>
      <c r="N29" s="96">
        <f t="shared" si="7"/>
        <v>-3932430.8180025788</v>
      </c>
      <c r="P29" s="98">
        <f>+I18+I25</f>
        <v>-1617406</v>
      </c>
      <c r="U29" s="99"/>
    </row>
    <row r="30" spans="4:22" x14ac:dyDescent="0.25">
      <c r="D30" s="39"/>
      <c r="E30" s="40"/>
      <c r="F30" s="40"/>
      <c r="G30" s="40"/>
      <c r="H30" s="42"/>
      <c r="I30" s="42"/>
      <c r="J30" s="42"/>
      <c r="K30" s="42"/>
      <c r="L30" s="42"/>
      <c r="M30" s="42"/>
      <c r="N30" s="42"/>
      <c r="U30" s="36"/>
    </row>
    <row r="31" spans="4:22" x14ac:dyDescent="0.25">
      <c r="D31" s="39"/>
      <c r="E31" s="40"/>
      <c r="F31" s="46"/>
      <c r="G31" s="46"/>
      <c r="H31" s="42"/>
      <c r="J31" s="42"/>
      <c r="K31" s="42"/>
      <c r="L31" s="42"/>
      <c r="M31" s="42"/>
      <c r="N31" s="43"/>
      <c r="P31" s="42">
        <f>SUM(I20:I21)+I26+I28</f>
        <v>671665</v>
      </c>
      <c r="Q31" t="s">
        <v>66</v>
      </c>
    </row>
    <row r="32" spans="4:22" x14ac:dyDescent="0.25">
      <c r="D32" s="44" t="s">
        <v>26</v>
      </c>
      <c r="E32" s="47"/>
      <c r="F32" s="40"/>
      <c r="G32" s="40"/>
      <c r="H32" s="42"/>
      <c r="I32" s="42"/>
      <c r="J32" s="42"/>
      <c r="K32" s="42"/>
      <c r="L32" s="42"/>
      <c r="M32" s="42"/>
      <c r="N32" s="43"/>
      <c r="R32" s="5"/>
    </row>
    <row r="33" spans="4:19" x14ac:dyDescent="0.25">
      <c r="D33" s="45" t="s">
        <v>58</v>
      </c>
      <c r="E33" s="48"/>
      <c r="F33" s="40"/>
      <c r="G33" s="40"/>
      <c r="H33" s="42"/>
      <c r="I33" s="42"/>
      <c r="J33" s="42"/>
      <c r="K33" s="42"/>
      <c r="L33" s="42"/>
      <c r="M33" s="42"/>
      <c r="N33" s="43"/>
      <c r="S33" t="s">
        <v>40</v>
      </c>
    </row>
    <row r="34" spans="4:19" x14ac:dyDescent="0.25">
      <c r="D34" s="39"/>
      <c r="E34" s="40"/>
      <c r="F34" s="40"/>
      <c r="G34" s="40"/>
      <c r="H34" s="42"/>
      <c r="I34" s="42"/>
      <c r="J34" s="42"/>
      <c r="K34" s="42"/>
      <c r="L34" s="42"/>
      <c r="M34" s="42"/>
      <c r="N34" s="43"/>
    </row>
    <row r="35" spans="4:19" x14ac:dyDescent="0.25">
      <c r="D35" s="45" t="s">
        <v>28</v>
      </c>
      <c r="E35" s="48"/>
      <c r="F35" s="40"/>
      <c r="G35" s="40"/>
      <c r="H35" s="42"/>
      <c r="I35" s="42"/>
      <c r="J35" s="42"/>
      <c r="K35" s="42"/>
      <c r="L35" s="42"/>
      <c r="M35" s="42"/>
      <c r="N35" s="43"/>
    </row>
    <row r="36" spans="4:19" x14ac:dyDescent="0.25">
      <c r="D36" s="39"/>
      <c r="E36" s="40"/>
      <c r="F36" s="40"/>
      <c r="G36" s="40"/>
      <c r="H36" s="42"/>
      <c r="I36" s="42"/>
      <c r="J36" s="42"/>
      <c r="K36" s="42"/>
      <c r="L36" s="42"/>
      <c r="M36" s="42"/>
      <c r="N36" s="43"/>
      <c r="R36" s="2"/>
    </row>
    <row r="37" spans="4:19" x14ac:dyDescent="0.25">
      <c r="D37" s="45" t="s">
        <v>29</v>
      </c>
      <c r="E37" s="48"/>
      <c r="F37" s="40"/>
      <c r="G37" s="40"/>
      <c r="H37" s="42"/>
      <c r="I37" s="42"/>
      <c r="J37" s="42"/>
      <c r="K37" s="42"/>
      <c r="L37" s="42"/>
      <c r="M37" s="42"/>
      <c r="N37" s="43"/>
      <c r="R37" s="2"/>
    </row>
    <row r="38" spans="4:19" x14ac:dyDescent="0.25">
      <c r="D38" s="39"/>
      <c r="E38" s="40"/>
      <c r="F38" s="40"/>
      <c r="G38" s="40"/>
      <c r="H38" s="42"/>
      <c r="I38" s="42"/>
      <c r="J38" s="42"/>
      <c r="K38" s="42"/>
      <c r="L38" s="42"/>
      <c r="M38" s="42"/>
      <c r="N38" s="43"/>
      <c r="R38" s="2"/>
    </row>
    <row r="39" spans="4:19" x14ac:dyDescent="0.25">
      <c r="D39" s="37" t="s">
        <v>46</v>
      </c>
      <c r="E39" s="49"/>
      <c r="F39" s="5"/>
      <c r="G39" s="5"/>
      <c r="H39" s="11"/>
      <c r="I39" s="11"/>
      <c r="J39" s="11"/>
      <c r="K39" s="11"/>
      <c r="L39" s="11"/>
      <c r="M39" s="11"/>
      <c r="N39" s="43"/>
    </row>
    <row r="40" spans="4:19" x14ac:dyDescent="0.25">
      <c r="D40" s="19"/>
      <c r="E40" s="5"/>
      <c r="F40" s="5"/>
      <c r="G40" s="5"/>
      <c r="H40" s="11"/>
      <c r="I40" s="11"/>
      <c r="J40" s="11"/>
      <c r="K40" s="11"/>
      <c r="L40" s="11"/>
      <c r="M40" s="11"/>
      <c r="N40" s="43"/>
    </row>
    <row r="41" spans="4:19" x14ac:dyDescent="0.25">
      <c r="D41" s="37" t="s">
        <v>31</v>
      </c>
      <c r="E41" s="49"/>
      <c r="F41" s="5"/>
      <c r="G41" s="5"/>
      <c r="H41" s="11"/>
      <c r="I41" s="11"/>
      <c r="J41" s="11"/>
      <c r="K41" s="11"/>
      <c r="L41" s="11"/>
      <c r="M41" s="11"/>
      <c r="N41" s="43"/>
    </row>
    <row r="42" spans="4:19" x14ac:dyDescent="0.25">
      <c r="D42" s="24"/>
      <c r="E42" s="50"/>
      <c r="F42" s="5"/>
      <c r="G42" s="5"/>
      <c r="H42" s="11"/>
      <c r="I42" s="11"/>
      <c r="J42" s="11"/>
      <c r="K42" s="11"/>
      <c r="L42" s="11"/>
      <c r="M42" s="11"/>
      <c r="N42" s="43"/>
    </row>
    <row r="43" spans="4:19" x14ac:dyDescent="0.25">
      <c r="D43" s="37" t="s">
        <v>39</v>
      </c>
      <c r="E43" s="49"/>
      <c r="F43" s="5"/>
      <c r="G43" s="5"/>
      <c r="H43" s="11"/>
      <c r="I43" s="11"/>
      <c r="J43" s="11"/>
      <c r="K43" s="11"/>
      <c r="L43" s="11"/>
      <c r="M43" s="11"/>
      <c r="N43" s="43"/>
    </row>
    <row r="44" spans="4:19" x14ac:dyDescent="0.25">
      <c r="D44" s="19"/>
      <c r="E44" s="5"/>
      <c r="F44" s="5"/>
      <c r="G44" s="5"/>
      <c r="H44" s="11"/>
      <c r="I44" s="11"/>
      <c r="J44" s="11"/>
      <c r="K44" s="11"/>
      <c r="L44" s="11"/>
      <c r="M44" s="11"/>
      <c r="N44" s="43"/>
    </row>
    <row r="45" spans="4:19" x14ac:dyDescent="0.25">
      <c r="D45" s="37" t="s">
        <v>54</v>
      </c>
      <c r="E45" s="49"/>
      <c r="F45" s="5"/>
      <c r="G45" s="5"/>
      <c r="H45" s="11"/>
      <c r="I45" s="11"/>
      <c r="J45" s="11"/>
      <c r="K45" s="11"/>
      <c r="L45" s="11"/>
      <c r="M45" s="11"/>
      <c r="N45" s="43"/>
    </row>
    <row r="46" spans="4:19" x14ac:dyDescent="0.25">
      <c r="D46" s="37"/>
      <c r="E46" s="49"/>
      <c r="F46" s="5"/>
      <c r="G46" s="5"/>
      <c r="H46" s="11"/>
      <c r="I46" s="11"/>
      <c r="J46" s="11"/>
      <c r="K46" s="11"/>
      <c r="L46" s="11"/>
      <c r="M46" s="11"/>
      <c r="N46" s="43"/>
    </row>
    <row r="47" spans="4:19" x14ac:dyDescent="0.25">
      <c r="D47" s="37" t="s">
        <v>59</v>
      </c>
      <c r="E47" s="49"/>
      <c r="F47" s="5"/>
      <c r="G47" s="5"/>
      <c r="H47" s="11"/>
      <c r="I47" s="11"/>
      <c r="J47" s="11"/>
      <c r="K47" s="11"/>
      <c r="L47" s="11"/>
      <c r="M47" s="11"/>
      <c r="N47" s="43"/>
    </row>
    <row r="48" spans="4:19" x14ac:dyDescent="0.25">
      <c r="D48" s="19"/>
      <c r="E48" s="5"/>
      <c r="F48" s="5"/>
      <c r="G48" s="5"/>
      <c r="H48" s="11"/>
      <c r="I48" s="11"/>
      <c r="J48" s="11"/>
      <c r="K48" s="11"/>
      <c r="L48" s="11"/>
      <c r="M48" s="11"/>
      <c r="N48" s="43"/>
    </row>
    <row r="49" spans="4:14" x14ac:dyDescent="0.25">
      <c r="D49" s="25" t="s">
        <v>35</v>
      </c>
      <c r="E49" s="51"/>
      <c r="F49" s="5"/>
      <c r="G49" s="5"/>
      <c r="H49" s="9" t="s">
        <v>0</v>
      </c>
      <c r="I49" s="9" t="s">
        <v>1</v>
      </c>
      <c r="J49" s="9" t="s">
        <v>2</v>
      </c>
      <c r="K49" s="9" t="s">
        <v>3</v>
      </c>
      <c r="L49" s="9" t="s">
        <v>4</v>
      </c>
      <c r="M49" s="9" t="s">
        <v>5</v>
      </c>
      <c r="N49" s="41" t="s">
        <v>7</v>
      </c>
    </row>
    <row r="50" spans="4:14" x14ac:dyDescent="0.25">
      <c r="D50" s="19"/>
      <c r="E50" s="5"/>
      <c r="F50" s="5"/>
      <c r="G50" s="5"/>
      <c r="H50" s="5"/>
      <c r="I50" s="5"/>
      <c r="J50" s="5"/>
      <c r="K50" s="5"/>
      <c r="L50" s="5"/>
      <c r="M50" s="5"/>
      <c r="N50" s="87"/>
    </row>
    <row r="51" spans="4:14" x14ac:dyDescent="0.25">
      <c r="D51" s="19" t="s">
        <v>6</v>
      </c>
      <c r="E51" s="5"/>
      <c r="F51" s="5"/>
      <c r="G51" s="5"/>
      <c r="H51" s="11">
        <v>125000</v>
      </c>
      <c r="I51" s="11"/>
      <c r="J51" s="11"/>
      <c r="K51" s="11"/>
      <c r="L51" s="11"/>
      <c r="M51" s="11"/>
      <c r="N51" s="43">
        <f t="shared" ref="N51:N54" si="8">SUM(H51:M51)</f>
        <v>125000</v>
      </c>
    </row>
    <row r="52" spans="4:14" x14ac:dyDescent="0.25">
      <c r="D52" s="19" t="s">
        <v>8</v>
      </c>
      <c r="E52" s="5"/>
      <c r="F52" s="5"/>
      <c r="G52" s="5"/>
      <c r="H52" s="11"/>
      <c r="I52" s="11">
        <v>397034</v>
      </c>
      <c r="J52" s="11"/>
      <c r="K52" s="11">
        <v>252420</v>
      </c>
      <c r="L52" s="11"/>
      <c r="M52" s="11"/>
      <c r="N52" s="43">
        <f t="shared" si="8"/>
        <v>649454</v>
      </c>
    </row>
    <row r="53" spans="4:14" x14ac:dyDescent="0.25">
      <c r="D53" s="19" t="s">
        <v>9</v>
      </c>
      <c r="E53" s="5"/>
      <c r="F53" s="5"/>
      <c r="G53" s="5"/>
      <c r="H53" s="11"/>
      <c r="I53" s="11"/>
      <c r="J53" s="11">
        <v>149481</v>
      </c>
      <c r="K53" s="11"/>
      <c r="L53" s="11"/>
      <c r="M53" s="11"/>
      <c r="N53" s="43">
        <f t="shared" si="8"/>
        <v>149481</v>
      </c>
    </row>
    <row r="54" spans="4:14" x14ac:dyDescent="0.25">
      <c r="D54" s="19" t="s">
        <v>10</v>
      </c>
      <c r="E54" s="5"/>
      <c r="F54" s="5"/>
      <c r="G54" s="5"/>
      <c r="H54" s="11"/>
      <c r="I54" s="11">
        <v>424824</v>
      </c>
      <c r="J54" s="11">
        <v>856057</v>
      </c>
      <c r="K54" s="11"/>
      <c r="L54" s="11"/>
      <c r="M54" s="11"/>
      <c r="N54" s="43">
        <f t="shared" si="8"/>
        <v>1280881</v>
      </c>
    </row>
    <row r="55" spans="4:14" x14ac:dyDescent="0.25">
      <c r="D55" s="19" t="s">
        <v>11</v>
      </c>
      <c r="E55" s="5"/>
      <c r="F55" s="5"/>
      <c r="G55" s="5"/>
      <c r="H55" s="11">
        <v>425000</v>
      </c>
      <c r="I55" s="11"/>
      <c r="J55" s="11"/>
      <c r="K55" s="11"/>
      <c r="L55" s="11"/>
      <c r="M55" s="11"/>
      <c r="N55" s="43">
        <f t="shared" ref="N55:N61" si="9">SUM(H55:M55)</f>
        <v>425000</v>
      </c>
    </row>
    <row r="56" spans="4:14" x14ac:dyDescent="0.25">
      <c r="D56" s="19" t="s">
        <v>13</v>
      </c>
      <c r="E56" s="5"/>
      <c r="F56" s="5"/>
      <c r="G56" s="5"/>
      <c r="H56" s="11">
        <v>255000</v>
      </c>
      <c r="I56" s="11"/>
      <c r="J56" s="11"/>
      <c r="K56" s="11"/>
      <c r="L56" s="11"/>
      <c r="M56" s="11"/>
      <c r="N56" s="43">
        <f t="shared" si="9"/>
        <v>255000</v>
      </c>
    </row>
    <row r="57" spans="4:14" x14ac:dyDescent="0.25">
      <c r="D57" s="19" t="s">
        <v>14</v>
      </c>
      <c r="E57" s="5"/>
      <c r="F57" s="5"/>
      <c r="G57" s="5"/>
      <c r="H57" s="11">
        <v>350000</v>
      </c>
      <c r="I57" s="11">
        <v>300000</v>
      </c>
      <c r="J57" s="11">
        <v>290000</v>
      </c>
      <c r="K57" s="11"/>
      <c r="L57" s="11"/>
      <c r="M57" s="11"/>
      <c r="N57" s="43">
        <f t="shared" si="9"/>
        <v>940000</v>
      </c>
    </row>
    <row r="58" spans="4:14" x14ac:dyDescent="0.25">
      <c r="D58" s="19" t="s">
        <v>15</v>
      </c>
      <c r="E58" s="5"/>
      <c r="F58" s="5"/>
      <c r="G58" s="5"/>
      <c r="H58" s="11">
        <v>37948</v>
      </c>
      <c r="I58" s="11">
        <v>42042</v>
      </c>
      <c r="J58" s="11">
        <v>28815</v>
      </c>
      <c r="K58" s="11"/>
      <c r="L58" s="11"/>
      <c r="M58" s="11"/>
      <c r="N58" s="43">
        <f t="shared" si="9"/>
        <v>108805</v>
      </c>
    </row>
    <row r="59" spans="4:14" x14ac:dyDescent="0.25">
      <c r="D59" s="19" t="s">
        <v>16</v>
      </c>
      <c r="E59" s="5"/>
      <c r="F59" s="5"/>
      <c r="G59" s="5"/>
      <c r="H59" s="11">
        <v>50006</v>
      </c>
      <c r="I59" s="11">
        <v>30875</v>
      </c>
      <c r="J59" s="11">
        <v>43837</v>
      </c>
      <c r="K59" s="11">
        <v>4873</v>
      </c>
      <c r="L59" s="11"/>
      <c r="M59" s="11"/>
      <c r="N59" s="43">
        <f t="shared" si="9"/>
        <v>129591</v>
      </c>
    </row>
    <row r="60" spans="4:14" x14ac:dyDescent="0.25">
      <c r="D60" s="19" t="s">
        <v>17</v>
      </c>
      <c r="E60" s="5"/>
      <c r="F60" s="5"/>
      <c r="G60" s="5"/>
      <c r="H60" s="4"/>
      <c r="I60" s="4">
        <v>110338</v>
      </c>
      <c r="J60" s="4">
        <v>150000</v>
      </c>
      <c r="K60" s="4"/>
      <c r="L60" s="4"/>
      <c r="M60" s="4"/>
      <c r="N60" s="88">
        <f t="shared" si="9"/>
        <v>260338</v>
      </c>
    </row>
    <row r="61" spans="4:14" x14ac:dyDescent="0.25">
      <c r="D61" s="19"/>
      <c r="E61" s="5"/>
      <c r="F61" s="5"/>
      <c r="G61" s="5"/>
      <c r="H61" s="27">
        <f t="shared" ref="H61:M61" si="10">SUM(H51:H60)</f>
        <v>1242954</v>
      </c>
      <c r="I61" s="27">
        <f t="shared" si="10"/>
        <v>1305113</v>
      </c>
      <c r="J61" s="27">
        <f t="shared" si="10"/>
        <v>1518190</v>
      </c>
      <c r="K61" s="27">
        <f t="shared" si="10"/>
        <v>257293</v>
      </c>
      <c r="L61" s="27">
        <f t="shared" si="10"/>
        <v>0</v>
      </c>
      <c r="M61" s="27">
        <f t="shared" si="10"/>
        <v>0</v>
      </c>
      <c r="N61" s="89">
        <f t="shared" si="9"/>
        <v>4323550</v>
      </c>
    </row>
    <row r="62" spans="4:14" x14ac:dyDescent="0.25">
      <c r="D62" s="17" t="s">
        <v>32</v>
      </c>
      <c r="E62" s="52"/>
      <c r="F62" s="5"/>
      <c r="G62" s="5"/>
      <c r="H62" s="11"/>
      <c r="I62" s="11"/>
      <c r="J62" s="11"/>
      <c r="K62" s="11"/>
      <c r="L62" s="11"/>
      <c r="M62" s="11"/>
      <c r="N62" s="43"/>
    </row>
    <row r="63" spans="4:14" x14ac:dyDescent="0.25">
      <c r="D63" s="19" t="s">
        <v>22</v>
      </c>
      <c r="E63" s="5"/>
      <c r="F63" s="5"/>
      <c r="G63" s="5"/>
      <c r="H63" s="11"/>
      <c r="I63" s="11"/>
      <c r="J63" s="11"/>
      <c r="K63" s="11"/>
      <c r="L63" s="11"/>
      <c r="M63" s="11"/>
      <c r="N63" s="43"/>
    </row>
    <row r="64" spans="4:14" x14ac:dyDescent="0.25">
      <c r="D64" s="19" t="s">
        <v>23</v>
      </c>
      <c r="E64" s="5"/>
      <c r="F64" s="5"/>
      <c r="G64" s="5"/>
      <c r="H64" s="11"/>
      <c r="I64" s="11"/>
      <c r="J64" s="11"/>
      <c r="K64" s="11"/>
      <c r="L64" s="11"/>
      <c r="M64" s="11"/>
      <c r="N64" s="43"/>
    </row>
    <row r="65" spans="4:15" x14ac:dyDescent="0.25">
      <c r="D65" s="19" t="s">
        <v>36</v>
      </c>
      <c r="E65" s="5"/>
      <c r="F65" s="5"/>
      <c r="G65" s="5"/>
      <c r="H65" s="11"/>
      <c r="I65" s="11"/>
      <c r="J65" s="11"/>
      <c r="K65" s="11"/>
      <c r="L65" s="11"/>
      <c r="M65" s="11"/>
      <c r="N65" s="43"/>
    </row>
    <row r="66" spans="4:15" x14ac:dyDescent="0.25">
      <c r="D66" s="19" t="s">
        <v>33</v>
      </c>
      <c r="E66" s="5"/>
      <c r="F66" s="5"/>
      <c r="G66" s="5"/>
      <c r="H66" s="11"/>
      <c r="I66" s="11"/>
      <c r="J66" s="11"/>
      <c r="K66" s="11"/>
      <c r="L66" s="11"/>
      <c r="M66" s="11"/>
      <c r="N66" s="43"/>
    </row>
    <row r="67" spans="4:15" x14ac:dyDescent="0.25">
      <c r="D67" s="19" t="s">
        <v>34</v>
      </c>
      <c r="E67" s="5"/>
      <c r="F67" s="5"/>
      <c r="G67" s="5"/>
      <c r="H67" s="11"/>
      <c r="I67" s="11"/>
      <c r="J67" s="11"/>
      <c r="K67" s="11"/>
      <c r="L67" s="11"/>
      <c r="M67" s="11"/>
      <c r="N67" s="43"/>
    </row>
    <row r="68" spans="4:15" ht="15.75" thickBot="1" x14ac:dyDescent="0.3">
      <c r="D68" s="29"/>
      <c r="E68" s="30"/>
      <c r="F68" s="30"/>
      <c r="G68" s="30"/>
      <c r="H68" s="31"/>
      <c r="I68" s="31"/>
      <c r="J68" s="31"/>
      <c r="K68" s="31"/>
      <c r="L68" s="31"/>
      <c r="M68" s="31"/>
      <c r="N68" s="90"/>
      <c r="O68" s="12">
        <f>SUM(H68:M68)</f>
        <v>0</v>
      </c>
    </row>
    <row r="69" spans="4:15" x14ac:dyDescent="0.25">
      <c r="H69" s="1"/>
      <c r="I69" s="1"/>
      <c r="J69" s="1"/>
      <c r="K69" s="1"/>
      <c r="L69" s="1"/>
      <c r="M69" s="1"/>
      <c r="N69" s="84"/>
    </row>
    <row r="70" spans="4:15" x14ac:dyDescent="0.25">
      <c r="H70" s="1"/>
      <c r="I70" s="1"/>
      <c r="J70" s="1"/>
      <c r="K70" s="1"/>
      <c r="L70" s="1"/>
      <c r="M70" s="1"/>
      <c r="N70" s="84"/>
    </row>
    <row r="71" spans="4:15" x14ac:dyDescent="0.25">
      <c r="H71" s="1"/>
      <c r="I71" s="1"/>
      <c r="J71" s="1"/>
      <c r="K71" s="1"/>
      <c r="L71" s="1"/>
      <c r="M71" s="1"/>
      <c r="N71" s="84"/>
    </row>
    <row r="72" spans="4:15" x14ac:dyDescent="0.25">
      <c r="H72" s="1"/>
      <c r="I72" s="1"/>
      <c r="J72" s="1"/>
      <c r="K72" s="1"/>
      <c r="L72" s="1"/>
      <c r="M72" s="1"/>
      <c r="N72" s="84"/>
    </row>
    <row r="73" spans="4:15" x14ac:dyDescent="0.25">
      <c r="H73" s="1"/>
      <c r="I73" s="1"/>
      <c r="J73" s="1"/>
      <c r="K73" s="1"/>
      <c r="L73" s="1"/>
      <c r="M73" s="1"/>
      <c r="N73" s="84"/>
    </row>
    <row r="74" spans="4:15" x14ac:dyDescent="0.25">
      <c r="H74" s="1"/>
      <c r="I74" s="1"/>
      <c r="J74" s="1"/>
      <c r="K74" s="1"/>
      <c r="L74" s="1"/>
      <c r="M74" s="1"/>
      <c r="N74" s="84"/>
    </row>
    <row r="75" spans="4:15" x14ac:dyDescent="0.25">
      <c r="H75" s="1"/>
      <c r="I75" s="1"/>
      <c r="J75" s="1"/>
      <c r="K75" s="1"/>
      <c r="L75" s="1"/>
      <c r="M75" s="1"/>
      <c r="N75" s="84"/>
    </row>
    <row r="76" spans="4:15" x14ac:dyDescent="0.25">
      <c r="H76" s="1"/>
      <c r="I76" s="1"/>
      <c r="J76" s="1"/>
      <c r="K76" s="1"/>
      <c r="L76" s="1"/>
      <c r="M76" s="1"/>
      <c r="N76" s="84"/>
    </row>
    <row r="77" spans="4:15" x14ac:dyDescent="0.25">
      <c r="H77" s="1"/>
      <c r="I77" s="1"/>
      <c r="J77" s="1"/>
      <c r="K77" s="1"/>
      <c r="L77" s="1"/>
      <c r="M77" s="1"/>
      <c r="N77" s="84"/>
    </row>
    <row r="78" spans="4:15" x14ac:dyDescent="0.25">
      <c r="H78" s="1"/>
      <c r="I78" s="1"/>
      <c r="J78" s="1"/>
      <c r="K78" s="1"/>
      <c r="L78" s="1"/>
      <c r="M78" s="1"/>
      <c r="N78" s="84"/>
    </row>
    <row r="79" spans="4:15" x14ac:dyDescent="0.25">
      <c r="H79" s="1"/>
      <c r="I79" s="1"/>
      <c r="J79" s="1"/>
      <c r="K79" s="1"/>
      <c r="L79" s="1"/>
      <c r="M79" s="1"/>
      <c r="N79" s="84"/>
    </row>
    <row r="80" spans="4:15" x14ac:dyDescent="0.25">
      <c r="H80" s="1"/>
      <c r="I80" s="1"/>
      <c r="J80" s="1"/>
      <c r="K80" s="1"/>
      <c r="L80" s="1"/>
      <c r="M80" s="1"/>
      <c r="N80" s="84"/>
    </row>
    <row r="81" spans="8:14" x14ac:dyDescent="0.25">
      <c r="H81" s="1"/>
      <c r="I81" s="1"/>
      <c r="J81" s="1"/>
      <c r="K81" s="1"/>
      <c r="L81" s="1"/>
      <c r="M81" s="1"/>
      <c r="N81" s="84"/>
    </row>
    <row r="82" spans="8:14" x14ac:dyDescent="0.25">
      <c r="H82" s="1"/>
      <c r="I82" s="1"/>
      <c r="J82" s="1"/>
      <c r="K82" s="1"/>
      <c r="L82" s="1"/>
      <c r="M82" s="1"/>
      <c r="N82" s="84"/>
    </row>
    <row r="83" spans="8:14" x14ac:dyDescent="0.25">
      <c r="H83" s="1"/>
      <c r="I83" s="1"/>
      <c r="J83" s="1"/>
      <c r="K83" s="1"/>
      <c r="L83" s="1"/>
      <c r="M83" s="1"/>
      <c r="N83" s="84"/>
    </row>
    <row r="84" spans="8:14" x14ac:dyDescent="0.25">
      <c r="H84" s="1"/>
      <c r="I84" s="1"/>
      <c r="J84" s="1"/>
      <c r="K84" s="1"/>
      <c r="L84" s="1"/>
      <c r="M84" s="1"/>
      <c r="N84" s="84"/>
    </row>
    <row r="85" spans="8:14" x14ac:dyDescent="0.25">
      <c r="H85" s="1"/>
      <c r="I85" s="1"/>
      <c r="J85" s="1"/>
      <c r="K85" s="1"/>
      <c r="L85" s="1"/>
      <c r="M85" s="1"/>
      <c r="N85" s="84"/>
    </row>
    <row r="86" spans="8:14" x14ac:dyDescent="0.25">
      <c r="H86" s="1"/>
      <c r="I86" s="1"/>
      <c r="J86" s="1"/>
      <c r="K86" s="1"/>
      <c r="L86" s="1"/>
      <c r="M86" s="1"/>
      <c r="N86" s="84"/>
    </row>
    <row r="87" spans="8:14" x14ac:dyDescent="0.25">
      <c r="H87" s="1"/>
      <c r="I87" s="1"/>
      <c r="J87" s="1"/>
      <c r="K87" s="1"/>
      <c r="L87" s="1"/>
      <c r="M87" s="1"/>
      <c r="N87" s="84"/>
    </row>
    <row r="88" spans="8:14" x14ac:dyDescent="0.25">
      <c r="H88" s="1"/>
      <c r="I88" s="1"/>
      <c r="J88" s="1"/>
      <c r="K88" s="1"/>
      <c r="L88" s="1"/>
      <c r="M88" s="1"/>
      <c r="N88" s="84"/>
    </row>
    <row r="89" spans="8:14" x14ac:dyDescent="0.25">
      <c r="H89" s="1"/>
      <c r="I89" s="1"/>
      <c r="J89" s="1"/>
      <c r="K89" s="1"/>
      <c r="L89" s="1"/>
      <c r="M89" s="1"/>
      <c r="N89" s="84"/>
    </row>
    <row r="90" spans="8:14" x14ac:dyDescent="0.25">
      <c r="H90" s="1"/>
      <c r="I90" s="1"/>
      <c r="J90" s="1"/>
      <c r="K90" s="1"/>
      <c r="L90" s="1"/>
      <c r="M90" s="1"/>
      <c r="N90" s="84"/>
    </row>
    <row r="91" spans="8:14" x14ac:dyDescent="0.25">
      <c r="H91" s="1"/>
      <c r="I91" s="1"/>
      <c r="J91" s="1"/>
      <c r="K91" s="1"/>
      <c r="L91" s="1"/>
      <c r="M91" s="1"/>
      <c r="N91" s="84"/>
    </row>
    <row r="92" spans="8:14" x14ac:dyDescent="0.25">
      <c r="H92" s="1"/>
      <c r="I92" s="1"/>
      <c r="J92" s="1"/>
      <c r="K92" s="1"/>
      <c r="L92" s="1"/>
      <c r="M92" s="1"/>
      <c r="N92" s="84"/>
    </row>
    <row r="93" spans="8:14" x14ac:dyDescent="0.25">
      <c r="H93" s="1"/>
      <c r="I93" s="1"/>
      <c r="J93" s="1"/>
      <c r="K93" s="1"/>
      <c r="L93" s="1"/>
      <c r="M93" s="1"/>
      <c r="N93" s="84"/>
    </row>
    <row r="94" spans="8:14" x14ac:dyDescent="0.25">
      <c r="H94" s="1"/>
      <c r="I94" s="1"/>
      <c r="J94" s="1"/>
      <c r="K94" s="1"/>
      <c r="L94" s="1"/>
      <c r="M94" s="1"/>
      <c r="N94" s="84"/>
    </row>
    <row r="95" spans="8:14" x14ac:dyDescent="0.25">
      <c r="H95" s="1"/>
      <c r="I95" s="1"/>
      <c r="J95" s="1"/>
      <c r="K95" s="1"/>
      <c r="L95" s="1"/>
      <c r="M95" s="1"/>
      <c r="N95" s="84"/>
    </row>
    <row r="96" spans="8:14" x14ac:dyDescent="0.25">
      <c r="H96" s="1"/>
      <c r="I96" s="1"/>
      <c r="J96" s="1"/>
      <c r="K96" s="1"/>
      <c r="L96" s="1"/>
      <c r="M96" s="1"/>
      <c r="N96" s="84"/>
    </row>
    <row r="97" spans="8:14" x14ac:dyDescent="0.25">
      <c r="H97" s="1"/>
      <c r="I97" s="1"/>
      <c r="J97" s="1"/>
      <c r="K97" s="1"/>
      <c r="L97" s="1"/>
      <c r="M97" s="1"/>
      <c r="N97" s="84"/>
    </row>
    <row r="98" spans="8:14" x14ac:dyDescent="0.25">
      <c r="H98" s="1"/>
      <c r="I98" s="1"/>
      <c r="J98" s="1"/>
      <c r="K98" s="1"/>
      <c r="L98" s="1"/>
      <c r="M98" s="1"/>
      <c r="N98" s="84"/>
    </row>
  </sheetData>
  <pageMargins left="0.7" right="0.7" top="0.75" bottom="0.75" header="0.3" footer="0.3"/>
  <pageSetup scale="43" orientation="landscape" r:id="rId1"/>
  <headerFooter>
    <oddHeader>&amp;C&amp;16Seattle Colleges' Projected
 Operating Budget Changes FY1617 to FY 1718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Governor's Budget</vt:lpstr>
      <vt:lpstr>Senate Budget</vt:lpstr>
      <vt:lpstr>House</vt:lpstr>
      <vt:lpstr>BOT Version</vt:lpstr>
      <vt:lpstr>'BOT Version'!Print_Area</vt:lpstr>
      <vt:lpstr>'Governor''s Budget'!Print_Area</vt:lpstr>
      <vt:lpstr>House!Print_Area</vt:lpstr>
      <vt:lpstr>'Senate Budget'!Print_Area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siegal</dc:creator>
  <cp:lastModifiedBy>siegal</cp:lastModifiedBy>
  <cp:lastPrinted>2017-06-06T14:59:30Z</cp:lastPrinted>
  <dcterms:created xsi:type="dcterms:W3CDTF">2017-01-11T16:38:07Z</dcterms:created>
  <dcterms:modified xsi:type="dcterms:W3CDTF">2017-06-06T14:59:34Z</dcterms:modified>
</cp:coreProperties>
</file>