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siness Finance\Board Reports\BOT reports\Presented in FY 16-17\JUNE 2017\"/>
    </mc:Choice>
  </mc:AlternateContent>
  <bookViews>
    <workbookView xWindow="-1800" yWindow="210" windowWidth="15480" windowHeight="7335" tabRatio="712"/>
  </bookViews>
  <sheets>
    <sheet name="Summary" sheetId="14" r:id="rId1"/>
    <sheet name="Central" sheetId="8" r:id="rId2"/>
    <sheet name="North" sheetId="9" r:id="rId3"/>
    <sheet name="South" sheetId="10" r:id="rId4"/>
    <sheet name="SVI" sheetId="11" r:id="rId5"/>
    <sheet name="DWDO" sheetId="13" r:id="rId6"/>
    <sheet name="Data Worksheet for FY 1718" sheetId="15" r:id="rId7"/>
    <sheet name="Other" sheetId="18" r:id="rId8"/>
    <sheet name="Worksheet for central" sheetId="16" state="hidden" r:id="rId9"/>
    <sheet name="Worksheet for South &amp; North" sheetId="17" state="hidden" r:id="rId10"/>
  </sheets>
  <definedNames>
    <definedName name="_xlnm.Print_Area" localSheetId="1">Central!$A$1:$G$43</definedName>
    <definedName name="_xlnm.Print_Area" localSheetId="5">DWDO!$A$1:$G$56</definedName>
    <definedName name="_xlnm.Print_Area" localSheetId="2">North!$A$1:$G$43</definedName>
    <definedName name="_xlnm.Print_Area" localSheetId="3">South!$A$1:$G$45</definedName>
    <definedName name="_xlnm.Print_Area" localSheetId="0">Summary!$A$1:$L$76</definedName>
    <definedName name="_xlnm.Print_Area" localSheetId="4">SVI!$A$1:$G$45</definedName>
  </definedNames>
  <calcPr calcId="152511"/>
</workbook>
</file>

<file path=xl/calcChain.xml><?xml version="1.0" encoding="utf-8"?>
<calcChain xmlns="http://schemas.openxmlformats.org/spreadsheetml/2006/main">
  <c r="F22" i="15" l="1"/>
  <c r="F15" i="15"/>
  <c r="C6" i="15" l="1"/>
  <c r="G52" i="13" s="1"/>
  <c r="C20" i="15"/>
  <c r="C17" i="15"/>
  <c r="G49" i="13"/>
  <c r="G6" i="13"/>
  <c r="F3" i="15"/>
  <c r="G15" i="15"/>
  <c r="G3" i="15"/>
  <c r="G17" i="8"/>
  <c r="G5" i="8"/>
  <c r="I34" i="14" l="1"/>
  <c r="I76" i="14"/>
  <c r="F12" i="11" l="1"/>
  <c r="F29" i="11"/>
  <c r="F29" i="10"/>
  <c r="F12" i="10"/>
  <c r="F29" i="9"/>
  <c r="F12" i="9"/>
  <c r="F29" i="8"/>
  <c r="F12" i="8"/>
  <c r="G28" i="8" l="1"/>
  <c r="G27" i="8"/>
  <c r="G26" i="8"/>
  <c r="G25" i="8"/>
  <c r="G24" i="8"/>
  <c r="G23" i="8"/>
  <c r="G22" i="8"/>
  <c r="G21" i="8"/>
  <c r="G20" i="8"/>
  <c r="G19" i="8"/>
  <c r="G18" i="8"/>
  <c r="G16" i="8"/>
  <c r="G15" i="8"/>
  <c r="G29" i="8" s="1"/>
  <c r="G28" i="11"/>
  <c r="G27" i="11"/>
  <c r="G26" i="11"/>
  <c r="G25" i="11"/>
  <c r="G24" i="11"/>
  <c r="G23" i="11"/>
  <c r="G22" i="11"/>
  <c r="G21" i="11"/>
  <c r="G20" i="11"/>
  <c r="G19" i="11"/>
  <c r="G18" i="11"/>
  <c r="G9" i="9"/>
  <c r="G5" i="9"/>
  <c r="G6" i="9"/>
  <c r="G7" i="9"/>
  <c r="G8" i="9"/>
  <c r="G10" i="9"/>
  <c r="G15" i="9"/>
  <c r="G16" i="9"/>
  <c r="G29" i="9" s="1"/>
  <c r="G17" i="9"/>
  <c r="G18" i="9"/>
  <c r="G19" i="9"/>
  <c r="G20" i="9"/>
  <c r="G21" i="9"/>
  <c r="G22" i="9"/>
  <c r="G23" i="9"/>
  <c r="G24" i="9"/>
  <c r="G25" i="9"/>
  <c r="G26" i="9"/>
  <c r="G27" i="9"/>
  <c r="G28" i="9"/>
  <c r="I11" i="9" l="1"/>
  <c r="H11" i="9"/>
  <c r="I11" i="11"/>
  <c r="H11" i="11"/>
  <c r="H11" i="8"/>
  <c r="I11" i="8" s="1"/>
  <c r="C35" i="18"/>
  <c r="I33" i="18"/>
  <c r="C31" i="18"/>
  <c r="H27" i="18"/>
  <c r="H35" i="18" s="1"/>
  <c r="G27" i="18"/>
  <c r="G35" i="18" s="1"/>
  <c r="F27" i="18"/>
  <c r="F35" i="18" s="1"/>
  <c r="E27" i="18"/>
  <c r="E31" i="18" s="1"/>
  <c r="D27" i="18"/>
  <c r="D35" i="18" s="1"/>
  <c r="C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27" i="18" s="1"/>
  <c r="I31" i="18" s="1"/>
  <c r="F10" i="18"/>
  <c r="E10" i="18"/>
  <c r="C10" i="18"/>
  <c r="C29" i="18" s="1"/>
  <c r="I9" i="18"/>
  <c r="I8" i="18"/>
  <c r="I7" i="18"/>
  <c r="I6" i="18"/>
  <c r="I5" i="18"/>
  <c r="I4" i="18"/>
  <c r="H10" i="18"/>
  <c r="H29" i="18" s="1"/>
  <c r="G10" i="18"/>
  <c r="D10" i="18"/>
  <c r="E35" i="18" l="1"/>
  <c r="E29" i="18"/>
  <c r="J19" i="18"/>
  <c r="G31" i="18"/>
  <c r="G29" i="18"/>
  <c r="G1" i="18"/>
  <c r="D29" i="18"/>
  <c r="I11" i="18"/>
  <c r="I28" i="18"/>
  <c r="F29" i="18"/>
  <c r="I3" i="18"/>
  <c r="I10" i="18" s="1"/>
  <c r="I29" i="18" s="1"/>
  <c r="F31" i="18"/>
  <c r="D31" i="18"/>
  <c r="H31" i="18"/>
  <c r="F67" i="13" l="1"/>
  <c r="I84" i="14"/>
  <c r="H10" i="15"/>
  <c r="G58" i="13"/>
  <c r="I29" i="14"/>
  <c r="I30" i="14"/>
  <c r="I32" i="14"/>
  <c r="I33" i="14"/>
  <c r="G10" i="10"/>
  <c r="H10" i="10" s="1"/>
  <c r="I10" i="10" s="1"/>
  <c r="H10" i="9"/>
  <c r="I10" i="9" s="1"/>
  <c r="H5" i="9"/>
  <c r="G15" i="17"/>
  <c r="G5" i="10"/>
  <c r="F49" i="16"/>
  <c r="F50" i="16"/>
  <c r="F48" i="16"/>
  <c r="F47" i="16"/>
  <c r="F46" i="16"/>
  <c r="F45" i="16"/>
  <c r="F52" i="16"/>
  <c r="F12" i="16"/>
  <c r="F38" i="16"/>
  <c r="F25" i="16"/>
  <c r="G28" i="13"/>
  <c r="H28" i="13" s="1"/>
  <c r="G67" i="14"/>
  <c r="I33" i="15"/>
  <c r="I13" i="15"/>
  <c r="K62" i="14" s="1"/>
  <c r="H27" i="15"/>
  <c r="H35" i="15" s="1"/>
  <c r="G27" i="15"/>
  <c r="G35" i="15" s="1"/>
  <c r="F27" i="15"/>
  <c r="F31" i="15" s="1"/>
  <c r="D27" i="15"/>
  <c r="I31" i="14"/>
  <c r="G16" i="10"/>
  <c r="H16" i="10" s="1"/>
  <c r="I16" i="10" s="1"/>
  <c r="G17" i="10"/>
  <c r="H17" i="10" s="1"/>
  <c r="I17" i="10" s="1"/>
  <c r="G18" i="10"/>
  <c r="H18" i="10" s="1"/>
  <c r="I18" i="10" s="1"/>
  <c r="G19" i="10"/>
  <c r="H19" i="10" s="1"/>
  <c r="I19" i="10" s="1"/>
  <c r="G20" i="10"/>
  <c r="H20" i="10" s="1"/>
  <c r="I20" i="10" s="1"/>
  <c r="G21" i="10"/>
  <c r="H21" i="10" s="1"/>
  <c r="I21" i="10" s="1"/>
  <c r="G22" i="10"/>
  <c r="H22" i="10" s="1"/>
  <c r="I22" i="10" s="1"/>
  <c r="G23" i="10"/>
  <c r="H23" i="10" s="1"/>
  <c r="I23" i="10" s="1"/>
  <c r="G24" i="10"/>
  <c r="H24" i="10" s="1"/>
  <c r="I24" i="10" s="1"/>
  <c r="G25" i="10"/>
  <c r="H25" i="10" s="1"/>
  <c r="I25" i="10" s="1"/>
  <c r="G26" i="10"/>
  <c r="H26" i="10" s="1"/>
  <c r="I26" i="10" s="1"/>
  <c r="G27" i="10"/>
  <c r="H27" i="10" s="1"/>
  <c r="I27" i="10" s="1"/>
  <c r="G28" i="10"/>
  <c r="H28" i="10" s="1"/>
  <c r="I28" i="10" s="1"/>
  <c r="G15" i="10"/>
  <c r="H16" i="9"/>
  <c r="I16" i="9" s="1"/>
  <c r="H17" i="9"/>
  <c r="I17" i="9" s="1"/>
  <c r="H18" i="9"/>
  <c r="I18" i="9" s="1"/>
  <c r="H19" i="9"/>
  <c r="I19" i="9" s="1"/>
  <c r="H20" i="9"/>
  <c r="I20" i="9" s="1"/>
  <c r="H21" i="9"/>
  <c r="I21" i="9" s="1"/>
  <c r="H22" i="9"/>
  <c r="I22" i="9" s="1"/>
  <c r="H23" i="9"/>
  <c r="I23" i="9" s="1"/>
  <c r="H24" i="9"/>
  <c r="I24" i="9" s="1"/>
  <c r="H25" i="9"/>
  <c r="I25" i="9" s="1"/>
  <c r="H26" i="9"/>
  <c r="I26" i="9" s="1"/>
  <c r="H27" i="9"/>
  <c r="I27" i="9" s="1"/>
  <c r="H28" i="9"/>
  <c r="I28" i="9" s="1"/>
  <c r="G16" i="11"/>
  <c r="H16" i="11" s="1"/>
  <c r="I16" i="11" s="1"/>
  <c r="G17" i="11"/>
  <c r="H17" i="11" s="1"/>
  <c r="I17" i="11" s="1"/>
  <c r="H18" i="11"/>
  <c r="I18" i="11" s="1"/>
  <c r="H19" i="11"/>
  <c r="I19" i="11" s="1"/>
  <c r="H20" i="11"/>
  <c r="I20" i="11" s="1"/>
  <c r="H21" i="11"/>
  <c r="I21" i="11" s="1"/>
  <c r="H22" i="11"/>
  <c r="I22" i="11" s="1"/>
  <c r="H23" i="11"/>
  <c r="I23" i="11" s="1"/>
  <c r="H24" i="11"/>
  <c r="I24" i="11" s="1"/>
  <c r="H25" i="11"/>
  <c r="I25" i="11" s="1"/>
  <c r="H26" i="11"/>
  <c r="H27" i="11"/>
  <c r="H28" i="11"/>
  <c r="I28" i="11" s="1"/>
  <c r="G15" i="11"/>
  <c r="G6" i="11"/>
  <c r="H6" i="11" s="1"/>
  <c r="I6" i="11" s="1"/>
  <c r="G7" i="11"/>
  <c r="H7" i="11" s="1"/>
  <c r="I7" i="11" s="1"/>
  <c r="G8" i="11"/>
  <c r="H8" i="11" s="1"/>
  <c r="I8" i="11" s="1"/>
  <c r="G9" i="11"/>
  <c r="H9" i="11" s="1"/>
  <c r="I9" i="11" s="1"/>
  <c r="G10" i="11"/>
  <c r="H10" i="11" s="1"/>
  <c r="I10" i="11" s="1"/>
  <c r="G5" i="11"/>
  <c r="G6" i="10"/>
  <c r="H6" i="10" s="1"/>
  <c r="I6" i="10" s="1"/>
  <c r="G7" i="10"/>
  <c r="H7" i="10" s="1"/>
  <c r="I7" i="10" s="1"/>
  <c r="G8" i="10"/>
  <c r="H8" i="10" s="1"/>
  <c r="I8" i="10" s="1"/>
  <c r="G9" i="10"/>
  <c r="H9" i="10" s="1"/>
  <c r="I9" i="10" s="1"/>
  <c r="H6" i="9"/>
  <c r="I6" i="9" s="1"/>
  <c r="H7" i="9"/>
  <c r="I7" i="9" s="1"/>
  <c r="H8" i="9"/>
  <c r="I8" i="9" s="1"/>
  <c r="H9" i="9"/>
  <c r="I9" i="9" s="1"/>
  <c r="K61" i="14"/>
  <c r="I61" i="14"/>
  <c r="G61" i="14"/>
  <c r="E61" i="14"/>
  <c r="F30" i="11"/>
  <c r="F31" i="11" s="1"/>
  <c r="F30" i="10"/>
  <c r="F75" i="13"/>
  <c r="F74" i="13"/>
  <c r="F31" i="13"/>
  <c r="F32" i="13" s="1"/>
  <c r="F30" i="8"/>
  <c r="F30" i="9"/>
  <c r="F31" i="9" s="1"/>
  <c r="G60" i="13"/>
  <c r="G61" i="13"/>
  <c r="G62" i="13"/>
  <c r="G63" i="13"/>
  <c r="G64" i="13"/>
  <c r="G65" i="13"/>
  <c r="G66" i="13"/>
  <c r="G67" i="13"/>
  <c r="G68" i="13"/>
  <c r="G69" i="13"/>
  <c r="G70" i="13"/>
  <c r="G71" i="13"/>
  <c r="G73" i="13"/>
  <c r="G59" i="13"/>
  <c r="G50" i="13"/>
  <c r="H50" i="13" s="1"/>
  <c r="I50" i="13" s="1"/>
  <c r="G51" i="13"/>
  <c r="H51" i="13" s="1"/>
  <c r="H52" i="13"/>
  <c r="I52" i="13" s="1"/>
  <c r="G53" i="13"/>
  <c r="H53" i="13" s="1"/>
  <c r="I53" i="13" s="1"/>
  <c r="G54" i="13"/>
  <c r="H54" i="13" s="1"/>
  <c r="I54" i="13" s="1"/>
  <c r="G55" i="13"/>
  <c r="H55" i="13" s="1"/>
  <c r="I55" i="13" s="1"/>
  <c r="H49" i="13"/>
  <c r="G17" i="13"/>
  <c r="H17" i="13" s="1"/>
  <c r="I17" i="13" s="1"/>
  <c r="G18" i="13"/>
  <c r="H18" i="13" s="1"/>
  <c r="I18" i="13" s="1"/>
  <c r="G19" i="13"/>
  <c r="H19" i="13" s="1"/>
  <c r="G20" i="13"/>
  <c r="H20" i="13" s="1"/>
  <c r="I20" i="13" s="1"/>
  <c r="G21" i="13"/>
  <c r="H21" i="13" s="1"/>
  <c r="G22" i="13"/>
  <c r="H22" i="13" s="1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 s="1"/>
  <c r="I26" i="13" s="1"/>
  <c r="G27" i="13"/>
  <c r="H27" i="13" s="1"/>
  <c r="I27" i="13" s="1"/>
  <c r="G16" i="13"/>
  <c r="G7" i="13"/>
  <c r="H7" i="13" s="1"/>
  <c r="I7" i="13" s="1"/>
  <c r="G8" i="13"/>
  <c r="H8" i="13" s="1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A2" i="13"/>
  <c r="C56" i="13"/>
  <c r="C74" i="13"/>
  <c r="D74" i="13"/>
  <c r="D76" i="13" s="1"/>
  <c r="E74" i="13"/>
  <c r="G76" i="14" s="1"/>
  <c r="E73" i="13"/>
  <c r="C75" i="13"/>
  <c r="D75" i="13"/>
  <c r="A2" i="11"/>
  <c r="G14" i="8"/>
  <c r="G11" i="10"/>
  <c r="A40" i="14"/>
  <c r="A2" i="9"/>
  <c r="H16" i="8"/>
  <c r="I16" i="8" s="1"/>
  <c r="H17" i="8"/>
  <c r="I17" i="8" s="1"/>
  <c r="H18" i="8"/>
  <c r="I18" i="8" s="1"/>
  <c r="H19" i="8"/>
  <c r="I19" i="8" s="1"/>
  <c r="H20" i="8"/>
  <c r="I20" i="8" s="1"/>
  <c r="H21" i="8"/>
  <c r="I21" i="8" s="1"/>
  <c r="H22" i="8"/>
  <c r="I22" i="8" s="1"/>
  <c r="H23" i="8"/>
  <c r="I23" i="8" s="1"/>
  <c r="H24" i="8"/>
  <c r="I24" i="8" s="1"/>
  <c r="H25" i="8"/>
  <c r="I25" i="8" s="1"/>
  <c r="H26" i="8"/>
  <c r="I26" i="8" s="1"/>
  <c r="H27" i="8"/>
  <c r="H28" i="8"/>
  <c r="I28" i="8" s="1"/>
  <c r="H15" i="8"/>
  <c r="I15" i="8" s="1"/>
  <c r="G6" i="8"/>
  <c r="H6" i="8" s="1"/>
  <c r="I6" i="8" s="1"/>
  <c r="A2" i="8"/>
  <c r="C27" i="15"/>
  <c r="C35" i="15" s="1"/>
  <c r="C90" i="14"/>
  <c r="I15" i="15"/>
  <c r="K64" i="14" s="1"/>
  <c r="I26" i="15"/>
  <c r="I20" i="15"/>
  <c r="K69" i="14" s="1"/>
  <c r="B87" i="14" s="1"/>
  <c r="I14" i="15"/>
  <c r="I16" i="15"/>
  <c r="K65" i="14" s="1"/>
  <c r="I17" i="15"/>
  <c r="K66" i="14" s="1"/>
  <c r="I18" i="15"/>
  <c r="K67" i="14" s="1"/>
  <c r="I19" i="15"/>
  <c r="K68" i="14" s="1"/>
  <c r="I22" i="15"/>
  <c r="K71" i="14" s="1"/>
  <c r="I23" i="15"/>
  <c r="K72" i="14" s="1"/>
  <c r="I24" i="15"/>
  <c r="K73" i="14" s="1"/>
  <c r="I25" i="15"/>
  <c r="K74" i="14" s="1"/>
  <c r="B89" i="14" s="1"/>
  <c r="G10" i="15"/>
  <c r="G1" i="15" s="1"/>
  <c r="F10" i="15"/>
  <c r="C10" i="15"/>
  <c r="I4" i="15"/>
  <c r="K30" i="14" s="1"/>
  <c r="I9" i="15"/>
  <c r="H12" i="13" s="1"/>
  <c r="I12" i="13" s="1"/>
  <c r="I21" i="15"/>
  <c r="K70" i="14" s="1"/>
  <c r="G63" i="14"/>
  <c r="G65" i="14"/>
  <c r="G66" i="14"/>
  <c r="G68" i="14"/>
  <c r="G69" i="14"/>
  <c r="G71" i="14"/>
  <c r="G72" i="14"/>
  <c r="G73" i="14"/>
  <c r="G30" i="14"/>
  <c r="G31" i="14"/>
  <c r="G32" i="14"/>
  <c r="G33" i="14"/>
  <c r="G34" i="14"/>
  <c r="G35" i="14"/>
  <c r="G29" i="14"/>
  <c r="G62" i="14"/>
  <c r="E30" i="8"/>
  <c r="E31" i="8" s="1"/>
  <c r="E30" i="9"/>
  <c r="E30" i="10"/>
  <c r="G64" i="14"/>
  <c r="E30" i="11"/>
  <c r="E31" i="11" s="1"/>
  <c r="G70" i="14"/>
  <c r="G74" i="14"/>
  <c r="E31" i="10"/>
  <c r="E31" i="9"/>
  <c r="C34" i="14"/>
  <c r="C35" i="14"/>
  <c r="E34" i="14"/>
  <c r="E35" i="14"/>
  <c r="C23" i="8"/>
  <c r="C63" i="14"/>
  <c r="C64" i="14"/>
  <c r="C65" i="14"/>
  <c r="C66" i="14"/>
  <c r="C67" i="14"/>
  <c r="C68" i="14"/>
  <c r="C69" i="14"/>
  <c r="C70" i="14"/>
  <c r="C71" i="14"/>
  <c r="C72" i="14"/>
  <c r="C73" i="14"/>
  <c r="C75" i="14"/>
  <c r="C62" i="14"/>
  <c r="E63" i="14"/>
  <c r="E64" i="14"/>
  <c r="E65" i="14"/>
  <c r="E66" i="14"/>
  <c r="E67" i="14"/>
  <c r="E68" i="14"/>
  <c r="E69" i="14"/>
  <c r="E70" i="14"/>
  <c r="E71" i="14"/>
  <c r="E72" i="14"/>
  <c r="E73" i="14"/>
  <c r="E75" i="14"/>
  <c r="E62" i="14"/>
  <c r="D31" i="13"/>
  <c r="D32" i="13" s="1"/>
  <c r="D30" i="11"/>
  <c r="D31" i="11"/>
  <c r="C30" i="10"/>
  <c r="D30" i="9"/>
  <c r="D31" i="9" s="1"/>
  <c r="D30" i="8"/>
  <c r="D31" i="8" s="1"/>
  <c r="C33" i="14"/>
  <c r="C32" i="14"/>
  <c r="C31" i="14"/>
  <c r="C30" i="14"/>
  <c r="C29" i="14"/>
  <c r="E33" i="14"/>
  <c r="E32" i="14"/>
  <c r="E31" i="14"/>
  <c r="E30" i="14"/>
  <c r="E29" i="14"/>
  <c r="C31" i="13"/>
  <c r="C13" i="13"/>
  <c r="C30" i="13"/>
  <c r="C32" i="13"/>
  <c r="C12" i="9"/>
  <c r="C29" i="9"/>
  <c r="C12" i="10"/>
  <c r="C29" i="10" s="1"/>
  <c r="C12" i="11"/>
  <c r="C29" i="11"/>
  <c r="C30" i="11"/>
  <c r="C30" i="9"/>
  <c r="C12" i="8"/>
  <c r="M8" i="11"/>
  <c r="M9" i="11" s="1"/>
  <c r="M10" i="11" s="1"/>
  <c r="A2" i="10"/>
  <c r="C31" i="9"/>
  <c r="C29" i="8"/>
  <c r="C28" i="8"/>
  <c r="C30" i="8"/>
  <c r="C31" i="8"/>
  <c r="F31" i="10"/>
  <c r="E36" i="14"/>
  <c r="E5" i="14" s="1"/>
  <c r="E76" i="14"/>
  <c r="D30" i="10"/>
  <c r="D31" i="10"/>
  <c r="F31" i="8"/>
  <c r="H15" i="9"/>
  <c r="I15" i="9" s="1"/>
  <c r="E27" i="15"/>
  <c r="E35" i="15" s="1"/>
  <c r="E10" i="15"/>
  <c r="G31" i="15"/>
  <c r="F76" i="13"/>
  <c r="C76" i="13"/>
  <c r="C36" i="14"/>
  <c r="D31" i="14" s="1"/>
  <c r="D10" i="15"/>
  <c r="H5" i="8"/>
  <c r="I3" i="15"/>
  <c r="K29" i="14" s="1"/>
  <c r="I6" i="15"/>
  <c r="K32" i="14" s="1"/>
  <c r="G8" i="8"/>
  <c r="H8" i="8" s="1"/>
  <c r="I8" i="8" s="1"/>
  <c r="F41" i="16"/>
  <c r="F54" i="16"/>
  <c r="G7" i="8"/>
  <c r="H7" i="8" s="1"/>
  <c r="I7" i="8" s="1"/>
  <c r="I5" i="15"/>
  <c r="K31" i="14" s="1"/>
  <c r="I8" i="15"/>
  <c r="K34" i="14" s="1"/>
  <c r="G10" i="8"/>
  <c r="H10" i="8" s="1"/>
  <c r="I10" i="8" s="1"/>
  <c r="G9" i="8"/>
  <c r="H9" i="8" s="1"/>
  <c r="I9" i="8" s="1"/>
  <c r="I7" i="15"/>
  <c r="K33" i="14" s="1"/>
  <c r="C31" i="11"/>
  <c r="G75" i="14"/>
  <c r="E75" i="13"/>
  <c r="E31" i="13"/>
  <c r="E32" i="13"/>
  <c r="D34" i="14"/>
  <c r="C31" i="15" l="1"/>
  <c r="H5" i="10"/>
  <c r="I5" i="10" s="1"/>
  <c r="H15" i="10"/>
  <c r="I15" i="10" s="1"/>
  <c r="G29" i="10"/>
  <c r="H15" i="11"/>
  <c r="G29" i="11"/>
  <c r="H16" i="13"/>
  <c r="I16" i="13" s="1"/>
  <c r="G30" i="13"/>
  <c r="C29" i="15"/>
  <c r="F29" i="15"/>
  <c r="H29" i="15"/>
  <c r="H31" i="15"/>
  <c r="G30" i="10"/>
  <c r="H29" i="11"/>
  <c r="I29" i="11" s="1"/>
  <c r="I15" i="11"/>
  <c r="K75" i="14"/>
  <c r="B91" i="14" s="1"/>
  <c r="G13" i="13"/>
  <c r="H13" i="13" s="1"/>
  <c r="I13" i="13" s="1"/>
  <c r="H6" i="13"/>
  <c r="I6" i="13" s="1"/>
  <c r="H12" i="8"/>
  <c r="I5" i="8"/>
  <c r="N5" i="11"/>
  <c r="H5" i="11"/>
  <c r="H12" i="9"/>
  <c r="I5" i="9"/>
  <c r="I35" i="14"/>
  <c r="I37" i="14" s="1"/>
  <c r="J34" i="14" s="1"/>
  <c r="S42" i="14" s="1"/>
  <c r="H11" i="10"/>
  <c r="I11" i="10" s="1"/>
  <c r="H30" i="13"/>
  <c r="I30" i="13" s="1"/>
  <c r="C37" i="14"/>
  <c r="C77" i="14"/>
  <c r="D74" i="14" s="1"/>
  <c r="H66" i="14"/>
  <c r="D32" i="14"/>
  <c r="G12" i="11"/>
  <c r="G12" i="9"/>
  <c r="C76" i="14"/>
  <c r="D67" i="14" s="1"/>
  <c r="C31" i="10"/>
  <c r="D30" i="14"/>
  <c r="D68" i="14"/>
  <c r="D33" i="14"/>
  <c r="G12" i="10"/>
  <c r="J5" i="10" s="1"/>
  <c r="C5" i="14"/>
  <c r="D29" i="14"/>
  <c r="C79" i="14"/>
  <c r="F67" i="14"/>
  <c r="H72" i="14"/>
  <c r="E76" i="13"/>
  <c r="H70" i="14"/>
  <c r="H65" i="14"/>
  <c r="H63" i="14"/>
  <c r="F30" i="14"/>
  <c r="Q38" i="14" s="1"/>
  <c r="F34" i="14"/>
  <c r="Q42" i="14" s="1"/>
  <c r="F70" i="14"/>
  <c r="F31" i="14"/>
  <c r="Q39" i="14" s="1"/>
  <c r="F32" i="14"/>
  <c r="Q40" i="14" s="1"/>
  <c r="F72" i="14"/>
  <c r="F68" i="14"/>
  <c r="H73" i="14"/>
  <c r="F29" i="14"/>
  <c r="F33" i="14"/>
  <c r="Q41" i="14" s="1"/>
  <c r="F62" i="14"/>
  <c r="F71" i="14"/>
  <c r="E77" i="14"/>
  <c r="F75" i="14" s="1"/>
  <c r="H71" i="14"/>
  <c r="F73" i="14"/>
  <c r="G36" i="14"/>
  <c r="H33" i="14" s="1"/>
  <c r="R41" i="14" s="1"/>
  <c r="H69" i="14"/>
  <c r="J69" i="14"/>
  <c r="F64" i="14"/>
  <c r="F69" i="14"/>
  <c r="F65" i="14"/>
  <c r="H64" i="14"/>
  <c r="G77" i="14"/>
  <c r="G78" i="14" s="1"/>
  <c r="H68" i="14"/>
  <c r="H67" i="14"/>
  <c r="I77" i="14"/>
  <c r="J75" i="14" s="1"/>
  <c r="H62" i="14"/>
  <c r="F63" i="14"/>
  <c r="E37" i="14"/>
  <c r="F66" i="14"/>
  <c r="G31" i="13"/>
  <c r="G30" i="11"/>
  <c r="G29" i="15"/>
  <c r="F35" i="15"/>
  <c r="O65" i="14"/>
  <c r="I28" i="15"/>
  <c r="E31" i="15"/>
  <c r="E29" i="15"/>
  <c r="B88" i="14"/>
  <c r="O68" i="14"/>
  <c r="B86" i="14"/>
  <c r="G30" i="8"/>
  <c r="J19" i="15"/>
  <c r="D31" i="15"/>
  <c r="K63" i="14"/>
  <c r="B84" i="14" s="1"/>
  <c r="D35" i="15"/>
  <c r="D29" i="15"/>
  <c r="G12" i="8"/>
  <c r="O66" i="14"/>
  <c r="B85" i="14"/>
  <c r="G75" i="13"/>
  <c r="I27" i="15"/>
  <c r="I31" i="15" s="1"/>
  <c r="K37" i="14"/>
  <c r="G56" i="13"/>
  <c r="H56" i="13" s="1"/>
  <c r="I10" i="15"/>
  <c r="I11" i="15"/>
  <c r="G31" i="10" l="1"/>
  <c r="H12" i="10"/>
  <c r="I12" i="10" s="1"/>
  <c r="J8" i="10"/>
  <c r="J12" i="10"/>
  <c r="J9" i="10"/>
  <c r="J6" i="10"/>
  <c r="J10" i="10"/>
  <c r="J7" i="10"/>
  <c r="J11" i="10"/>
  <c r="K35" i="14" s="1"/>
  <c r="J64" i="14"/>
  <c r="J67" i="14"/>
  <c r="J63" i="14"/>
  <c r="G74" i="13"/>
  <c r="G76" i="13" s="1"/>
  <c r="I36" i="14"/>
  <c r="J32" i="14" s="1"/>
  <c r="S40" i="14" s="1"/>
  <c r="H29" i="9"/>
  <c r="I29" i="9" s="1"/>
  <c r="I12" i="9"/>
  <c r="H12" i="11"/>
  <c r="I12" i="11" s="1"/>
  <c r="I32" i="11" s="1"/>
  <c r="I5" i="11"/>
  <c r="H29" i="8"/>
  <c r="I29" i="8" s="1"/>
  <c r="I12" i="8"/>
  <c r="G13" i="8" s="1"/>
  <c r="I56" i="13"/>
  <c r="H74" i="13"/>
  <c r="G32" i="13"/>
  <c r="J66" i="14"/>
  <c r="J73" i="14"/>
  <c r="D66" i="14"/>
  <c r="D72" i="14"/>
  <c r="C78" i="14"/>
  <c r="D63" i="14"/>
  <c r="J62" i="14"/>
  <c r="J70" i="14"/>
  <c r="D75" i="14"/>
  <c r="D65" i="14"/>
  <c r="D69" i="14"/>
  <c r="D70" i="14"/>
  <c r="D73" i="14"/>
  <c r="D36" i="14"/>
  <c r="D64" i="14"/>
  <c r="D62" i="14"/>
  <c r="D71" i="14"/>
  <c r="J68" i="14"/>
  <c r="H29" i="14"/>
  <c r="R37" i="14" s="1"/>
  <c r="H74" i="14"/>
  <c r="H75" i="14"/>
  <c r="F36" i="14"/>
  <c r="J72" i="14"/>
  <c r="H30" i="14"/>
  <c r="R38" i="14" s="1"/>
  <c r="F74" i="14"/>
  <c r="F76" i="14" s="1"/>
  <c r="Q37" i="14"/>
  <c r="H35" i="14"/>
  <c r="H32" i="14"/>
  <c r="R40" i="14" s="1"/>
  <c r="E78" i="14"/>
  <c r="E79" i="14"/>
  <c r="H34" i="14"/>
  <c r="R42" i="14" s="1"/>
  <c r="G79" i="14"/>
  <c r="G5" i="14"/>
  <c r="H5" i="14" s="1"/>
  <c r="J71" i="14"/>
  <c r="J65" i="14"/>
  <c r="H31" i="14"/>
  <c r="R39" i="14" s="1"/>
  <c r="I78" i="14"/>
  <c r="G31" i="11"/>
  <c r="K76" i="14"/>
  <c r="O64" i="14"/>
  <c r="O69" i="14" s="1"/>
  <c r="P66" i="14" s="1"/>
  <c r="K77" i="14"/>
  <c r="L74" i="14" s="1"/>
  <c r="G31" i="8"/>
  <c r="B90" i="14"/>
  <c r="B92" i="14" s="1"/>
  <c r="I29" i="15"/>
  <c r="K36" i="14"/>
  <c r="L32" i="14" s="1"/>
  <c r="T40" i="14" s="1"/>
  <c r="L66" i="14" l="1"/>
  <c r="M88" i="14"/>
  <c r="H29" i="10"/>
  <c r="I29" i="10" s="1"/>
  <c r="I5" i="14"/>
  <c r="I79" i="14"/>
  <c r="J31" i="14"/>
  <c r="S39" i="14" s="1"/>
  <c r="J33" i="14"/>
  <c r="S41" i="14" s="1"/>
  <c r="J30" i="14"/>
  <c r="S38" i="14" s="1"/>
  <c r="J35" i="14"/>
  <c r="J29" i="14"/>
  <c r="S37" i="14" s="1"/>
  <c r="I38" i="14"/>
  <c r="L63" i="14"/>
  <c r="D76" i="14"/>
  <c r="H76" i="14"/>
  <c r="J76" i="14"/>
  <c r="H36" i="14"/>
  <c r="J5" i="14"/>
  <c r="P64" i="14"/>
  <c r="P68" i="14"/>
  <c r="P65" i="14"/>
  <c r="L68" i="14"/>
  <c r="L71" i="14"/>
  <c r="L73" i="14"/>
  <c r="L70" i="14"/>
  <c r="L72" i="14"/>
  <c r="L30" i="14"/>
  <c r="T38" i="14" s="1"/>
  <c r="L29" i="14"/>
  <c r="T37" i="14" s="1"/>
  <c r="K5" i="14"/>
  <c r="L5" i="14" s="1"/>
  <c r="L35" i="14"/>
  <c r="L65" i="14"/>
  <c r="L67" i="14"/>
  <c r="L62" i="14"/>
  <c r="L69" i="14"/>
  <c r="L64" i="14"/>
  <c r="K78" i="14"/>
  <c r="L75" i="14"/>
  <c r="K38" i="14"/>
  <c r="K79" i="14"/>
  <c r="L34" i="14"/>
  <c r="T42" i="14" s="1"/>
  <c r="L31" i="14"/>
  <c r="T39" i="14" s="1"/>
  <c r="L33" i="14"/>
  <c r="T41" i="14" s="1"/>
  <c r="M36" i="14"/>
  <c r="J36" i="14" l="1"/>
  <c r="P69" i="14"/>
  <c r="L76" i="14"/>
  <c r="L36" i="14"/>
</calcChain>
</file>

<file path=xl/comments1.xml><?xml version="1.0" encoding="utf-8"?>
<comments xmlns="http://schemas.openxmlformats.org/spreadsheetml/2006/main">
  <authors>
    <author>Dawn Vinberg</author>
  </authors>
  <commentList>
    <comment ref="D27" authorId="0" shapeId="0">
      <text>
        <r>
          <rPr>
            <b/>
            <sz val="8"/>
            <color indexed="81"/>
            <rFont val="Tahoma"/>
            <family val="2"/>
          </rPr>
          <t>Dawn Vinberg:</t>
        </r>
        <r>
          <rPr>
            <sz val="8"/>
            <color indexed="81"/>
            <rFont val="Tahoma"/>
            <family val="2"/>
          </rPr>
          <t xml:space="preserve">
used to balance the negative amount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>Dawn Vinberg:</t>
        </r>
        <r>
          <rPr>
            <sz val="8"/>
            <color indexed="81"/>
            <rFont val="Tahoma"/>
            <family val="2"/>
          </rPr>
          <t xml:space="preserve">
used to balance the negative amount
</t>
        </r>
      </text>
    </comment>
  </commentList>
</comments>
</file>

<file path=xl/comments2.xml><?xml version="1.0" encoding="utf-8"?>
<comments xmlns="http://schemas.openxmlformats.org/spreadsheetml/2006/main">
  <authors>
    <author>siegal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SVI info:</t>
        </r>
        <r>
          <rPr>
            <sz val="9"/>
            <color indexed="81"/>
            <rFont val="Tahoma"/>
            <family val="2"/>
          </rPr>
          <t xml:space="preserve">
1,000,000K in cont 020 (E)
284,334 in plant 09x (E)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need to know the obj for $2.5M</t>
        </r>
      </text>
    </comment>
  </commentList>
</comments>
</file>

<file path=xl/comments3.xml><?xml version="1.0" encoding="utf-8"?>
<comments xmlns="http://schemas.openxmlformats.org/spreadsheetml/2006/main">
  <authors>
    <author>siegal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SVI info:</t>
        </r>
        <r>
          <rPr>
            <sz val="9"/>
            <color indexed="81"/>
            <rFont val="Tahoma"/>
            <family val="2"/>
          </rPr>
          <t xml:space="preserve">
1,000,000K in cont 020 (E)
284,334 in plant 09x (E)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need to know the obj for $2.5M</t>
        </r>
      </text>
    </comment>
  </commentList>
</comments>
</file>

<file path=xl/sharedStrings.xml><?xml version="1.0" encoding="utf-8"?>
<sst xmlns="http://schemas.openxmlformats.org/spreadsheetml/2006/main" count="676" uniqueCount="147">
  <si>
    <t>Instruction</t>
  </si>
  <si>
    <t xml:space="preserve">OPERATING </t>
  </si>
  <si>
    <t>011 &amp; 04x</t>
  </si>
  <si>
    <t>Programs</t>
  </si>
  <si>
    <t>Library</t>
  </si>
  <si>
    <t>05x</t>
  </si>
  <si>
    <t>Student Services</t>
  </si>
  <si>
    <t>06x</t>
  </si>
  <si>
    <t>Institutional Support</t>
  </si>
  <si>
    <t>08x</t>
  </si>
  <si>
    <t>Plants Operations</t>
  </si>
  <si>
    <t>09x</t>
  </si>
  <si>
    <t>TOTAL</t>
  </si>
  <si>
    <t>OPERATING CATEGORIES</t>
  </si>
  <si>
    <t>FT Faculty</t>
  </si>
  <si>
    <t>AE</t>
  </si>
  <si>
    <t>Faculty Stipend</t>
  </si>
  <si>
    <t>AF</t>
  </si>
  <si>
    <t>PT / Pro Rata Faculty</t>
  </si>
  <si>
    <t>AG &amp; AH</t>
  </si>
  <si>
    <t>Classified</t>
  </si>
  <si>
    <t>Exempt</t>
  </si>
  <si>
    <t>AA, AB, AC, AZ</t>
  </si>
  <si>
    <t>Benefits</t>
  </si>
  <si>
    <t>Goods &amp; Services</t>
  </si>
  <si>
    <t>Travel</t>
  </si>
  <si>
    <t>G-</t>
  </si>
  <si>
    <t>Equipment</t>
  </si>
  <si>
    <t>J- &amp; K-</t>
  </si>
  <si>
    <t>Personal Services</t>
  </si>
  <si>
    <t>C-</t>
  </si>
  <si>
    <t>B-</t>
  </si>
  <si>
    <t>Plant Operations</t>
  </si>
  <si>
    <t xml:space="preserve"> </t>
  </si>
  <si>
    <t>FY 2011-2012</t>
  </si>
  <si>
    <t xml:space="preserve">All other </t>
  </si>
  <si>
    <t xml:space="preserve">AK </t>
  </si>
  <si>
    <t>Contingency &amp; Reserves</t>
  </si>
  <si>
    <t>Unallocated</t>
  </si>
  <si>
    <t>02x</t>
  </si>
  <si>
    <t>FY 2012-2013</t>
  </si>
  <si>
    <t>FY 2010-2011</t>
  </si>
  <si>
    <t>%</t>
  </si>
  <si>
    <t>Faculty</t>
  </si>
  <si>
    <t>TOTAL Operating Budget</t>
  </si>
  <si>
    <t>holding #</t>
  </si>
  <si>
    <t>E in 02x</t>
  </si>
  <si>
    <t>E- LESS 02X</t>
  </si>
  <si>
    <t>check figure</t>
  </si>
  <si>
    <t>diff</t>
  </si>
  <si>
    <t>Other</t>
  </si>
  <si>
    <t>check</t>
  </si>
  <si>
    <t>Overtime</t>
  </si>
  <si>
    <t>Hourly, Students &amp; Other</t>
  </si>
  <si>
    <t>AU</t>
  </si>
  <si>
    <t>FY Actual 2010-2011</t>
  </si>
  <si>
    <t>FY 2013-2014</t>
  </si>
  <si>
    <t>worksheet for calculations</t>
  </si>
  <si>
    <t>2 Central</t>
  </si>
  <si>
    <t>3 North</t>
  </si>
  <si>
    <t>4 South</t>
  </si>
  <si>
    <t>5 SVI</t>
  </si>
  <si>
    <t>Total</t>
  </si>
  <si>
    <t>Category</t>
  </si>
  <si>
    <t>01x &amp; 04x</t>
  </si>
  <si>
    <t>A Siegal</t>
  </si>
  <si>
    <t>adj = e</t>
  </si>
  <si>
    <t>adjustment was moved into E except for SVI</t>
  </si>
  <si>
    <t>AUTHORITY TO SPEND</t>
  </si>
  <si>
    <t>NACUBO</t>
  </si>
  <si>
    <t>Staffing</t>
  </si>
  <si>
    <t>Siegal Center</t>
  </si>
  <si>
    <t>Major Categories</t>
  </si>
  <si>
    <t>Classified &amp; Hourly</t>
  </si>
  <si>
    <t>Purchases</t>
  </si>
  <si>
    <t>Cont &amp; Reserve</t>
  </si>
  <si>
    <t>N, P, x,</t>
  </si>
  <si>
    <t>Other (Training Cont., Client Svcs, etc.)</t>
  </si>
  <si>
    <t>FY 2010 - 2011</t>
  </si>
  <si>
    <t>D</t>
  </si>
  <si>
    <t>FY 2014-2015</t>
  </si>
  <si>
    <t>Seattle  Colleges</t>
  </si>
  <si>
    <t>Client Services</t>
  </si>
  <si>
    <t>FY 2014-15</t>
  </si>
  <si>
    <t>Seattle Vocational Institute</t>
  </si>
  <si>
    <t>District Wide</t>
  </si>
  <si>
    <t>Off-sets</t>
  </si>
  <si>
    <t>ad,am,ap,as,at</t>
  </si>
  <si>
    <t>North Seattle College</t>
  </si>
  <si>
    <t>South Seattle College</t>
  </si>
  <si>
    <t>Seattle Central College</t>
  </si>
  <si>
    <t>Proposed Budget Yearly Trend</t>
  </si>
  <si>
    <t>Seattle Colleges Operating Budget</t>
  </si>
  <si>
    <t>FY 2015-2016</t>
  </si>
  <si>
    <t>FY 2015-16</t>
  </si>
  <si>
    <t>Balance per allcoation schedule</t>
  </si>
  <si>
    <t>1 District Wide</t>
  </si>
  <si>
    <t>Variance</t>
  </si>
  <si>
    <t>04X</t>
  </si>
  <si>
    <t>06X</t>
  </si>
  <si>
    <t>08X</t>
  </si>
  <si>
    <t>09X</t>
  </si>
  <si>
    <t>AMOUNT</t>
  </si>
  <si>
    <t>Amount</t>
  </si>
  <si>
    <t>Total Adj</t>
  </si>
  <si>
    <t>Reclassify North &amp; South Resertve for Budget</t>
  </si>
  <si>
    <t>Fund</t>
  </si>
  <si>
    <t>Pro-Org</t>
  </si>
  <si>
    <t>SOBJ</t>
  </si>
  <si>
    <t>0204R05</t>
  </si>
  <si>
    <t>AE01</t>
  </si>
  <si>
    <t>AE16</t>
  </si>
  <si>
    <t>AF81</t>
  </si>
  <si>
    <t>AH16</t>
  </si>
  <si>
    <t>(Reclassify out of reserve and into Program 01X)</t>
  </si>
  <si>
    <t>South</t>
  </si>
  <si>
    <t>North</t>
  </si>
  <si>
    <t>3eo</t>
  </si>
  <si>
    <t>0203r01</t>
  </si>
  <si>
    <t>e</t>
  </si>
  <si>
    <t>Contingency, Reserves &amp; Unallocated</t>
  </si>
  <si>
    <t>Unallocated Funds</t>
  </si>
  <si>
    <t>PlantsOperations</t>
  </si>
  <si>
    <t xml:space="preserve">Chart data: </t>
  </si>
  <si>
    <t>FY 2016-2017</t>
  </si>
  <si>
    <t>$300,000 Increase</t>
  </si>
  <si>
    <t>Running Start</t>
  </si>
  <si>
    <t xml:space="preserve">International </t>
  </si>
  <si>
    <t>Increase of</t>
  </si>
  <si>
    <t>Request to transfer</t>
  </si>
  <si>
    <t>$428,580 from</t>
  </si>
  <si>
    <t>Reserve</t>
  </si>
  <si>
    <t>$45,533  Unresolved</t>
  </si>
  <si>
    <t>FY 2016-17</t>
  </si>
  <si>
    <t>FY1516</t>
  </si>
  <si>
    <t>FY1617</t>
  </si>
  <si>
    <t>FY 2017-18</t>
  </si>
  <si>
    <t>FY 2017-2018 (Projection)</t>
  </si>
  <si>
    <t xml:space="preserve">$ Change </t>
  </si>
  <si>
    <t>% Change</t>
  </si>
  <si>
    <t>PROPOSED FISCAL YEAR 2017-2018  OPERATING BUDGET</t>
  </si>
  <si>
    <t>`</t>
  </si>
  <si>
    <t>FY 2014 - 2015</t>
  </si>
  <si>
    <t>FY 1415</t>
  </si>
  <si>
    <t>FY1718</t>
  </si>
  <si>
    <t>FY 2017-2018 (Proposed)</t>
  </si>
  <si>
    <t xml:space="preserve">Seattle Colleges District-Wide &amp; Siegal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</si>
</sst>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"/>
    <numFmt numFmtId="168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20"/>
      <color indexed="18"/>
      <name val="Calibri"/>
      <family val="2"/>
      <scheme val="minor"/>
    </font>
    <font>
      <sz val="14"/>
      <color theme="5" tint="-0.4999847407452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5" tint="-0.49998474074526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20"/>
      <color theme="1"/>
      <name val="Symbol"/>
      <family val="1"/>
      <charset val="2"/>
    </font>
    <font>
      <sz val="9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sz val="8"/>
      <color theme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1" fillId="0" borderId="0"/>
    <xf numFmtId="44" fontId="8" fillId="0" borderId="0" applyFont="0" applyFill="0" applyBorder="0" applyAlignment="0" applyProtection="0"/>
    <xf numFmtId="0" fontId="33" fillId="0" borderId="0"/>
    <xf numFmtId="0" fontId="8" fillId="0" borderId="0"/>
    <xf numFmtId="0" fontId="3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/>
    <xf numFmtId="168" fontId="35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0" xfId="1" applyNumberFormat="1" applyFont="1"/>
    <xf numFmtId="164" fontId="2" fillId="0" borderId="0" xfId="0" applyNumberFormat="1" applyFont="1"/>
    <xf numFmtId="165" fontId="2" fillId="0" borderId="0" xfId="2" applyNumberFormat="1" applyFont="1"/>
    <xf numFmtId="165" fontId="2" fillId="0" borderId="0" xfId="2" applyNumberFormat="1" applyFont="1" applyFill="1"/>
    <xf numFmtId="165" fontId="2" fillId="0" borderId="0" xfId="4" applyNumberFormat="1" applyFont="1"/>
    <xf numFmtId="49" fontId="4" fillId="0" borderId="0" xfId="0" applyNumberFormat="1" applyFont="1" applyBorder="1"/>
    <xf numFmtId="0" fontId="5" fillId="0" borderId="1" xfId="0" applyFont="1" applyBorder="1"/>
    <xf numFmtId="0" fontId="5" fillId="0" borderId="0" xfId="0" applyFont="1"/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Fill="1"/>
    <xf numFmtId="0" fontId="2" fillId="0" borderId="0" xfId="0" applyFont="1"/>
    <xf numFmtId="164" fontId="2" fillId="0" borderId="0" xfId="1" applyNumberFormat="1" applyFont="1" applyBorder="1"/>
    <xf numFmtId="44" fontId="2" fillId="0" borderId="0" xfId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5" fillId="0" borderId="1" xfId="1" applyNumberFormat="1" applyFont="1" applyBorder="1"/>
    <xf numFmtId="164" fontId="5" fillId="0" borderId="1" xfId="0" applyNumberFormat="1" applyFont="1" applyBorder="1"/>
    <xf numFmtId="44" fontId="2" fillId="0" borderId="0" xfId="1" applyFont="1" applyBorder="1"/>
    <xf numFmtId="0" fontId="0" fillId="0" borderId="0" xfId="0" applyFont="1"/>
    <xf numFmtId="0" fontId="7" fillId="0" borderId="0" xfId="0" applyFont="1"/>
    <xf numFmtId="0" fontId="7" fillId="0" borderId="0" xfId="0" applyFont="1" applyFill="1"/>
    <xf numFmtId="164" fontId="7" fillId="0" borderId="0" xfId="0" applyNumberFormat="1" applyFont="1"/>
    <xf numFmtId="0" fontId="6" fillId="0" borderId="0" xfId="0" applyFont="1" applyBorder="1"/>
    <xf numFmtId="44" fontId="6" fillId="0" borderId="0" xfId="1" applyFont="1" applyBorder="1"/>
    <xf numFmtId="9" fontId="6" fillId="0" borderId="0" xfId="3" applyNumberFormat="1" applyFont="1" applyBorder="1"/>
    <xf numFmtId="164" fontId="6" fillId="0" borderId="0" xfId="1" applyNumberFormat="1" applyFont="1" applyBorder="1"/>
    <xf numFmtId="0" fontId="10" fillId="2" borderId="0" xfId="5" applyFont="1" applyFill="1" applyAlignment="1">
      <alignment vertical="center"/>
    </xf>
    <xf numFmtId="0" fontId="9" fillId="0" borderId="2" xfId="5" applyFont="1" applyFill="1" applyBorder="1" applyAlignment="1">
      <alignment vertical="center"/>
    </xf>
    <xf numFmtId="0" fontId="7" fillId="0" borderId="3" xfId="0" applyFont="1" applyBorder="1"/>
    <xf numFmtId="0" fontId="10" fillId="0" borderId="0" xfId="5" applyFont="1" applyFill="1" applyBorder="1" applyAlignment="1">
      <alignment vertical="center"/>
    </xf>
    <xf numFmtId="164" fontId="5" fillId="0" borderId="0" xfId="1" applyNumberFormat="1" applyFont="1" applyBorder="1"/>
    <xf numFmtId="9" fontId="5" fillId="0" borderId="0" xfId="3" applyNumberFormat="1" applyFont="1" applyBorder="1"/>
    <xf numFmtId="164" fontId="2" fillId="0" borderId="0" xfId="1" applyNumberFormat="1" applyFont="1" applyFill="1"/>
    <xf numFmtId="0" fontId="10" fillId="0" borderId="0" xfId="5" applyFont="1" applyFill="1" applyAlignment="1">
      <alignment vertical="center"/>
    </xf>
    <xf numFmtId="164" fontId="5" fillId="3" borderId="1" xfId="1" applyNumberFormat="1" applyFont="1" applyFill="1" applyBorder="1"/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5" fillId="3" borderId="1" xfId="0" applyNumberFormat="1" applyFont="1" applyFill="1" applyBorder="1"/>
    <xf numFmtId="0" fontId="9" fillId="0" borderId="0" xfId="5" applyFont="1" applyFill="1" applyBorder="1" applyAlignment="1">
      <alignment vertical="center"/>
    </xf>
    <xf numFmtId="0" fontId="7" fillId="0" borderId="0" xfId="0" applyFont="1" applyBorder="1"/>
    <xf numFmtId="165" fontId="2" fillId="0" borderId="0" xfId="0" applyNumberFormat="1" applyFont="1"/>
    <xf numFmtId="0" fontId="4" fillId="0" borderId="0" xfId="0" applyFont="1" applyBorder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14" fillId="0" borderId="0" xfId="0" applyFont="1" applyBorder="1"/>
    <xf numFmtId="9" fontId="14" fillId="0" borderId="0" xfId="3" applyNumberFormat="1" applyFont="1" applyBorder="1"/>
    <xf numFmtId="9" fontId="2" fillId="0" borderId="0" xfId="3" applyFont="1"/>
    <xf numFmtId="9" fontId="5" fillId="0" borderId="1" xfId="3" applyNumberFormat="1" applyFont="1" applyBorder="1"/>
    <xf numFmtId="166" fontId="2" fillId="0" borderId="0" xfId="3" applyNumberFormat="1" applyFont="1"/>
    <xf numFmtId="0" fontId="2" fillId="0" borderId="6" xfId="0" applyFont="1" applyBorder="1"/>
    <xf numFmtId="164" fontId="5" fillId="0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0" borderId="0" xfId="0" applyFont="1" applyFill="1"/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6" xfId="1" applyNumberFormat="1" applyFont="1" applyFill="1" applyBorder="1"/>
    <xf numFmtId="164" fontId="2" fillId="0" borderId="0" xfId="1" applyNumberFormat="1" applyFont="1" applyFill="1" applyBorder="1"/>
    <xf numFmtId="9" fontId="7" fillId="0" borderId="0" xfId="3" applyFont="1"/>
    <xf numFmtId="9" fontId="7" fillId="0" borderId="0" xfId="0" applyNumberFormat="1" applyFont="1"/>
    <xf numFmtId="43" fontId="2" fillId="0" borderId="0" xfId="0" applyNumberFormat="1" applyFont="1"/>
    <xf numFmtId="44" fontId="2" fillId="0" borderId="0" xfId="0" applyNumberFormat="1" applyFont="1"/>
    <xf numFmtId="164" fontId="2" fillId="0" borderId="8" xfId="1" applyNumberFormat="1" applyFont="1" applyBorder="1"/>
    <xf numFmtId="0" fontId="15" fillId="0" borderId="0" xfId="0" applyFont="1" applyBorder="1"/>
    <xf numFmtId="164" fontId="16" fillId="0" borderId="0" xfId="1" applyNumberFormat="1" applyFont="1"/>
    <xf numFmtId="9" fontId="15" fillId="0" borderId="0" xfId="3" applyNumberFormat="1" applyFont="1" applyBorder="1"/>
    <xf numFmtId="0" fontId="17" fillId="0" borderId="0" xfId="0" applyFont="1" applyBorder="1"/>
    <xf numFmtId="164" fontId="17" fillId="0" borderId="0" xfId="1" applyNumberFormat="1" applyFont="1" applyBorder="1"/>
    <xf numFmtId="9" fontId="17" fillId="0" borderId="0" xfId="3" applyNumberFormat="1" applyFont="1" applyBorder="1"/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0" fontId="5" fillId="0" borderId="1" xfId="0" applyFont="1" applyFill="1" applyBorder="1" applyAlignment="1">
      <alignment horizontal="center"/>
    </xf>
    <xf numFmtId="164" fontId="2" fillId="0" borderId="7" xfId="1" applyNumberFormat="1" applyFont="1" applyFill="1" applyBorder="1"/>
    <xf numFmtId="164" fontId="13" fillId="0" borderId="0" xfId="0" applyNumberFormat="1" applyFont="1" applyFill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7" fillId="0" borderId="6" xfId="0" applyFont="1" applyBorder="1"/>
    <xf numFmtId="165" fontId="7" fillId="0" borderId="0" xfId="2" applyNumberFormat="1" applyFont="1"/>
    <xf numFmtId="165" fontId="6" fillId="0" borderId="1" xfId="2" applyNumberFormat="1" applyFont="1" applyBorder="1"/>
    <xf numFmtId="0" fontId="7" fillId="0" borderId="0" xfId="0" applyFont="1" applyFill="1" applyBorder="1"/>
    <xf numFmtId="165" fontId="7" fillId="0" borderId="0" xfId="0" applyNumberFormat="1" applyFont="1"/>
    <xf numFmtId="0" fontId="20" fillId="0" borderId="0" xfId="16" applyFont="1" applyFill="1" applyBorder="1" applyAlignment="1">
      <alignment horizontal="left"/>
    </xf>
    <xf numFmtId="164" fontId="20" fillId="0" borderId="0" xfId="24" applyNumberFormat="1" applyFont="1"/>
    <xf numFmtId="164" fontId="20" fillId="0" borderId="0" xfId="24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9" xfId="1" applyNumberFormat="1" applyFont="1" applyFill="1" applyBorder="1"/>
    <xf numFmtId="164" fontId="2" fillId="3" borderId="6" xfId="1" applyNumberFormat="1" applyFont="1" applyFill="1" applyBorder="1"/>
    <xf numFmtId="0" fontId="25" fillId="2" borderId="0" xfId="5" applyFont="1" applyFill="1" applyAlignment="1">
      <alignment vertical="center"/>
    </xf>
    <xf numFmtId="0" fontId="27" fillId="0" borderId="0" xfId="0" applyFont="1"/>
    <xf numFmtId="0" fontId="26" fillId="0" borderId="0" xfId="0" applyFont="1" applyBorder="1" applyAlignment="1"/>
    <xf numFmtId="0" fontId="26" fillId="0" borderId="4" xfId="0" applyFont="1" applyBorder="1"/>
    <xf numFmtId="164" fontId="26" fillId="0" borderId="4" xfId="1" applyNumberFormat="1" applyFont="1" applyBorder="1"/>
    <xf numFmtId="9" fontId="26" fillId="0" borderId="4" xfId="3" applyNumberFormat="1" applyFont="1" applyBorder="1"/>
    <xf numFmtId="164" fontId="26" fillId="0" borderId="4" xfId="1" applyNumberFormat="1" applyFont="1" applyFill="1" applyBorder="1"/>
    <xf numFmtId="164" fontId="26" fillId="3" borderId="4" xfId="1" applyNumberFormat="1" applyFont="1" applyFill="1" applyBorder="1"/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6" fontId="2" fillId="0" borderId="4" xfId="3" applyNumberFormat="1" applyFont="1" applyBorder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167" fontId="32" fillId="0" borderId="10" xfId="16" applyNumberFormat="1" applyFont="1" applyBorder="1"/>
    <xf numFmtId="165" fontId="31" fillId="0" borderId="0" xfId="2" applyNumberFormat="1" applyFont="1"/>
    <xf numFmtId="0" fontId="27" fillId="0" borderId="5" xfId="0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5" fillId="2" borderId="0" xfId="5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right"/>
    </xf>
    <xf numFmtId="0" fontId="27" fillId="0" borderId="5" xfId="0" applyFont="1" applyBorder="1" applyAlignment="1">
      <alignment horizontal="center" vertical="center" wrapText="1"/>
    </xf>
    <xf numFmtId="0" fontId="4" fillId="0" borderId="0" xfId="0" applyFont="1"/>
    <xf numFmtId="164" fontId="5" fillId="0" borderId="0" xfId="1" applyNumberFormat="1" applyFont="1" applyFill="1" applyAlignment="1">
      <alignment horizontal="center"/>
    </xf>
    <xf numFmtId="164" fontId="36" fillId="0" borderId="0" xfId="1" applyNumberFormat="1" applyFont="1" applyFill="1"/>
    <xf numFmtId="164" fontId="5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37" fontId="7" fillId="0" borderId="0" xfId="0" applyNumberFormat="1" applyFont="1"/>
    <xf numFmtId="0" fontId="17" fillId="4" borderId="0" xfId="0" applyFont="1" applyFill="1"/>
    <xf numFmtId="37" fontId="17" fillId="4" borderId="0" xfId="0" applyNumberFormat="1" applyFont="1" applyFill="1"/>
    <xf numFmtId="166" fontId="2" fillId="0" borderId="0" xfId="3" applyNumberFormat="1" applyFont="1" applyBorder="1"/>
    <xf numFmtId="0" fontId="0" fillId="0" borderId="0" xfId="0" applyAlignment="1">
      <alignment horizontal="center"/>
    </xf>
    <xf numFmtId="38" fontId="0" fillId="0" borderId="0" xfId="0" applyNumberFormat="1"/>
    <xf numFmtId="0" fontId="4" fillId="5" borderId="0" xfId="0" applyFont="1" applyFill="1"/>
    <xf numFmtId="9" fontId="2" fillId="0" borderId="0" xfId="0" applyNumberFormat="1" applyFont="1"/>
    <xf numFmtId="9" fontId="6" fillId="0" borderId="6" xfId="3" applyNumberFormat="1" applyFont="1" applyBorder="1"/>
    <xf numFmtId="164" fontId="6" fillId="0" borderId="6" xfId="1" applyNumberFormat="1" applyFont="1" applyBorder="1"/>
    <xf numFmtId="164" fontId="2" fillId="0" borderId="11" xfId="1" applyNumberFormat="1" applyFont="1" applyFill="1" applyBorder="1"/>
    <xf numFmtId="9" fontId="6" fillId="0" borderId="11" xfId="3" applyNumberFormat="1" applyFont="1" applyBorder="1"/>
    <xf numFmtId="164" fontId="2" fillId="0" borderId="12" xfId="1" applyNumberFormat="1" applyFont="1" applyBorder="1"/>
    <xf numFmtId="164" fontId="2" fillId="0" borderId="11" xfId="1" applyNumberFormat="1" applyFont="1" applyBorder="1"/>
    <xf numFmtId="164" fontId="2" fillId="0" borderId="13" xfId="1" applyNumberFormat="1" applyFont="1" applyBorder="1"/>
    <xf numFmtId="164" fontId="2" fillId="0" borderId="12" xfId="1" applyNumberFormat="1" applyFont="1" applyFill="1" applyBorder="1"/>
    <xf numFmtId="165" fontId="2" fillId="0" borderId="12" xfId="1" applyNumberFormat="1" applyFont="1" applyFill="1" applyBorder="1"/>
    <xf numFmtId="165" fontId="2" fillId="0" borderId="11" xfId="1" applyNumberFormat="1" applyFont="1" applyFill="1" applyBorder="1"/>
    <xf numFmtId="164" fontId="2" fillId="0" borderId="13" xfId="1" applyNumberFormat="1" applyFont="1" applyFill="1" applyBorder="1"/>
    <xf numFmtId="164" fontId="2" fillId="0" borderId="14" xfId="1" applyNumberFormat="1" applyFont="1" applyBorder="1"/>
    <xf numFmtId="0" fontId="2" fillId="0" borderId="14" xfId="0" applyFont="1" applyBorder="1"/>
    <xf numFmtId="165" fontId="7" fillId="3" borderId="12" xfId="2" applyNumberFormat="1" applyFont="1" applyFill="1" applyBorder="1"/>
    <xf numFmtId="165" fontId="7" fillId="3" borderId="11" xfId="2" applyNumberFormat="1" applyFont="1" applyFill="1" applyBorder="1"/>
    <xf numFmtId="164" fontId="2" fillId="3" borderId="12" xfId="1" applyNumberFormat="1" applyFont="1" applyFill="1" applyBorder="1"/>
    <xf numFmtId="164" fontId="2" fillId="3" borderId="11" xfId="1" applyNumberFormat="1" applyFont="1" applyFill="1" applyBorder="1"/>
    <xf numFmtId="164" fontId="2" fillId="3" borderId="13" xfId="1" applyNumberFormat="1" applyFont="1" applyFill="1" applyBorder="1"/>
    <xf numFmtId="0" fontId="2" fillId="0" borderId="7" xfId="0" applyFont="1" applyBorder="1"/>
    <xf numFmtId="9" fontId="7" fillId="0" borderId="0" xfId="3" applyNumberFormat="1" applyFont="1" applyBorder="1"/>
    <xf numFmtId="164" fontId="5" fillId="0" borderId="1" xfId="0" applyNumberFormat="1" applyFont="1" applyBorder="1" applyAlignment="1">
      <alignment horizontal="center"/>
    </xf>
    <xf numFmtId="37" fontId="7" fillId="5" borderId="0" xfId="0" applyNumberFormat="1" applyFont="1" applyFill="1"/>
    <xf numFmtId="0" fontId="7" fillId="5" borderId="0" xfId="0" applyFont="1" applyFill="1"/>
    <xf numFmtId="6" fontId="7" fillId="5" borderId="0" xfId="0" applyNumberFormat="1" applyFont="1" applyFill="1"/>
    <xf numFmtId="165" fontId="2" fillId="0" borderId="12" xfId="1" applyNumberFormat="1" applyFont="1" applyBorder="1"/>
    <xf numFmtId="164" fontId="38" fillId="3" borderId="1" xfId="1" applyNumberFormat="1" applyFont="1" applyFill="1" applyBorder="1" applyAlignment="1">
      <alignment horizontal="center"/>
    </xf>
    <xf numFmtId="164" fontId="38" fillId="0" borderId="0" xfId="1" applyNumberFormat="1" applyFont="1" applyFill="1" applyBorder="1" applyAlignment="1">
      <alignment horizontal="center"/>
    </xf>
    <xf numFmtId="165" fontId="7" fillId="0" borderId="0" xfId="2" applyNumberFormat="1" applyFont="1" applyFill="1" applyBorder="1"/>
    <xf numFmtId="0" fontId="38" fillId="0" borderId="0" xfId="0" applyFont="1"/>
    <xf numFmtId="0" fontId="38" fillId="0" borderId="0" xfId="0" applyFont="1" applyBorder="1"/>
    <xf numFmtId="38" fontId="2" fillId="0" borderId="0" xfId="1" applyNumberFormat="1" applyFont="1"/>
    <xf numFmtId="0" fontId="37" fillId="0" borderId="5" xfId="0" applyFont="1" applyFill="1" applyBorder="1" applyAlignment="1">
      <alignment horizontal="center" vertical="center" wrapText="1"/>
    </xf>
    <xf numFmtId="164" fontId="7" fillId="0" borderId="0" xfId="2" applyNumberFormat="1" applyFont="1"/>
    <xf numFmtId="42" fontId="7" fillId="0" borderId="0" xfId="2" applyNumberFormat="1" applyFont="1"/>
    <xf numFmtId="0" fontId="2" fillId="0" borderId="0" xfId="0" applyFont="1" applyAlignment="1">
      <alignment wrapText="1"/>
    </xf>
    <xf numFmtId="0" fontId="0" fillId="0" borderId="0" xfId="0" applyFont="1" applyAlignment="1"/>
    <xf numFmtId="9" fontId="2" fillId="0" borderId="0" xfId="3" applyNumberFormat="1" applyFont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164" fontId="2" fillId="0" borderId="16" xfId="1" applyNumberFormat="1" applyFont="1" applyBorder="1"/>
    <xf numFmtId="166" fontId="2" fillId="0" borderId="16" xfId="3" applyNumberFormat="1" applyFont="1" applyBorder="1"/>
    <xf numFmtId="164" fontId="2" fillId="0" borderId="16" xfId="1" applyNumberFormat="1" applyFont="1" applyFill="1" applyBorder="1"/>
    <xf numFmtId="164" fontId="2" fillId="3" borderId="16" xfId="1" applyNumberFormat="1" applyFont="1" applyFill="1" applyBorder="1"/>
    <xf numFmtId="166" fontId="2" fillId="0" borderId="17" xfId="3" applyNumberFormat="1" applyFont="1" applyBorder="1"/>
    <xf numFmtId="0" fontId="2" fillId="0" borderId="18" xfId="0" applyFont="1" applyBorder="1"/>
    <xf numFmtId="166" fontId="2" fillId="0" borderId="19" xfId="3" applyNumberFormat="1" applyFont="1" applyBorder="1"/>
    <xf numFmtId="0" fontId="5" fillId="0" borderId="20" xfId="0" applyFont="1" applyBorder="1"/>
    <xf numFmtId="0" fontId="2" fillId="0" borderId="4" xfId="0" applyFont="1" applyBorder="1"/>
    <xf numFmtId="164" fontId="5" fillId="0" borderId="4" xfId="0" applyNumberFormat="1" applyFont="1" applyFill="1" applyBorder="1"/>
    <xf numFmtId="9" fontId="5" fillId="0" borderId="4" xfId="3" applyFont="1" applyBorder="1"/>
    <xf numFmtId="164" fontId="5" fillId="3" borderId="4" xfId="0" applyNumberFormat="1" applyFont="1" applyFill="1" applyBorder="1"/>
    <xf numFmtId="9" fontId="5" fillId="0" borderId="21" xfId="3" applyFont="1" applyBorder="1"/>
  </cellXfs>
  <cellStyles count="34">
    <cellStyle name="Comma" xfId="2" builtinId="3"/>
    <cellStyle name="Comma 2" xfId="4"/>
    <cellStyle name="Comma 2 2" xfId="7"/>
    <cellStyle name="Comma 2 3" xfId="29"/>
    <cellStyle name="Comma 3" xfId="28"/>
    <cellStyle name="Comma 4" xfId="33"/>
    <cellStyle name="Currency" xfId="1" builtinId="4"/>
    <cellStyle name="Currency 2" xfId="6"/>
    <cellStyle name="Currency 2 2" xfId="31"/>
    <cellStyle name="Currency 3" xfId="10"/>
    <cellStyle name="Currency 3 2" xfId="12"/>
    <cellStyle name="Currency 4" xfId="24"/>
    <cellStyle name="Currency 5" xfId="14"/>
    <cellStyle name="Normal" xfId="0" builtinId="0"/>
    <cellStyle name="Normal 10" xfId="32"/>
    <cellStyle name="Normal 2" xfId="9"/>
    <cellStyle name="Normal 2 2" xfId="11"/>
    <cellStyle name="Normal 2 2 2" xfId="15"/>
    <cellStyle name="Normal 2 3" xfId="26"/>
    <cellStyle name="Normal 3" xfId="16"/>
    <cellStyle name="Normal 3 2" xfId="17"/>
    <cellStyle name="Normal 4" xfId="5"/>
    <cellStyle name="Normal 4 2" xfId="19"/>
    <cellStyle name="Normal 4 3" xfId="20"/>
    <cellStyle name="Normal 4 4" xfId="18"/>
    <cellStyle name="Normal 5" xfId="21"/>
    <cellStyle name="Normal 5 2" xfId="22"/>
    <cellStyle name="Normal 6" xfId="23"/>
    <cellStyle name="Normal 7" xfId="13"/>
    <cellStyle name="Normal 8" xfId="25"/>
    <cellStyle name="Normal 9" xfId="27"/>
    <cellStyle name="Percent" xfId="3" builtinId="5"/>
    <cellStyle name="Percent 2" xfId="8"/>
    <cellStyle name="Percent 2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FY Budget 2016-2017</a:t>
            </a:r>
          </a:p>
          <a:p>
            <a:pPr>
              <a:defRPr sz="1400"/>
            </a:pPr>
            <a:endParaRPr lang="en-US"/>
          </a:p>
          <a:p>
            <a:pPr>
              <a:defRPr sz="1400"/>
            </a:pPr>
            <a:r>
              <a:rPr lang="en-US"/>
              <a:t>$131.9</a:t>
            </a:r>
            <a:r>
              <a:rPr lang="en-US" baseline="0"/>
              <a:t> M</a:t>
            </a:r>
            <a:endParaRPr lang="en-US"/>
          </a:p>
        </c:rich>
      </c:tx>
      <c:layout>
        <c:manualLayout>
          <c:xMode val="edge"/>
          <c:yMode val="edge"/>
          <c:x val="0.42475442348734055"/>
          <c:y val="8.25942469227819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33981684891269"/>
          <c:y val="0.26466654994154437"/>
          <c:w val="0.63493759204864364"/>
          <c:h val="0.6337458022481562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3.8975143781008567E-2"/>
                  <c:y val="0.161860515230821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Instruction
55%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0334374549141654E-3"/>
                  <c:y val="7.2363552762458344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Instit Support
19%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699601991969574E-2"/>
                  <c:y val="0.11206073735264074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Plant Ops
11%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9058159970949244E-2"/>
                  <c:y val="5.128383867361247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Cont &amp; Reserves
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Summary!$A$29:$A$35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Summary!$K$29:$K$35</c:f>
              <c:numCache>
                <c:formatCode>_("$"* #,##0_);_("$"* \(#,##0\);_("$"* "-"??_);_(@_)</c:formatCode>
                <c:ptCount val="6"/>
                <c:pt idx="0">
                  <c:v>71821910.180000007</c:v>
                </c:pt>
                <c:pt idx="1">
                  <c:v>2649675</c:v>
                </c:pt>
                <c:pt idx="2">
                  <c:v>12596290.6</c:v>
                </c:pt>
                <c:pt idx="3">
                  <c:v>22631155.219999999</c:v>
                </c:pt>
                <c:pt idx="4">
                  <c:v>14504639.4</c:v>
                </c:pt>
                <c:pt idx="5">
                  <c:v>3777232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SVI</a:t>
            </a:r>
            <a:r>
              <a:rPr lang="en-US" sz="1400" b="1" baseline="0"/>
              <a:t> Budgeted</a:t>
            </a:r>
          </a:p>
          <a:p>
            <a:pPr>
              <a:defRPr sz="1400" b="1"/>
            </a:pPr>
            <a:r>
              <a:rPr lang="en-US" sz="1400" b="1" baseline="0"/>
              <a:t>Expenses by Program Code</a:t>
            </a:r>
          </a:p>
          <a:p>
            <a:pPr>
              <a:defRPr sz="1400" b="1"/>
            </a:pPr>
            <a:r>
              <a:rPr lang="en-US" sz="1400" b="1" baseline="0"/>
              <a:t>FY 2017 - 2018</a:t>
            </a:r>
            <a:endParaRPr lang="en-US" sz="1400" b="1"/>
          </a:p>
        </c:rich>
      </c:tx>
      <c:layout>
        <c:manualLayout>
          <c:xMode val="edge"/>
          <c:yMode val="edge"/>
          <c:x val="3.2411084982124798E-2"/>
          <c:y val="0.1167409345458641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25426737031414"/>
          <c:y val="8.222606342449891E-2"/>
          <c:w val="0.52813385826771653"/>
          <c:h val="0.88637850338637736"/>
        </c:manualLayout>
      </c:layout>
      <c:pieChart>
        <c:varyColors val="1"/>
        <c:ser>
          <c:idx val="0"/>
          <c:order val="0"/>
          <c:tx>
            <c:strRef>
              <c:f>SVI!$G$4</c:f>
              <c:strCache>
                <c:ptCount val="1"/>
                <c:pt idx="0">
                  <c:v>FY 2017-2018 (Proposed)</c:v>
                </c:pt>
              </c:strCache>
            </c:strRef>
          </c:tx>
          <c:dLbls>
            <c:dLbl>
              <c:idx val="0"/>
              <c:layout>
                <c:manualLayout>
                  <c:x val="-4.5190475066917294E-3"/>
                  <c:y val="-1.32158298432460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611572956237013E-3"/>
                  <c:y val="-4.7933517426387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580728081144922E-2"/>
                  <c:y val="0.100532917737495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210319114445837E-2"/>
                  <c:y val="1.16867924889444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SVI!$A$5:$A$11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SVI!$G$5:$G$11</c:f>
              <c:numCache>
                <c:formatCode>_("$"* #,##0_);_("$"* \(#,##0\);_("$"* "-"??_);_(@_)</c:formatCode>
                <c:ptCount val="6"/>
                <c:pt idx="0">
                  <c:v>2494977.75</c:v>
                </c:pt>
                <c:pt idx="1">
                  <c:v>0</c:v>
                </c:pt>
                <c:pt idx="2">
                  <c:v>365281.6</c:v>
                </c:pt>
                <c:pt idx="3">
                  <c:v>464380.72</c:v>
                </c:pt>
                <c:pt idx="4">
                  <c:v>549289</c:v>
                </c:pt>
                <c:pt idx="5">
                  <c:v>5000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>
      <c:oddFooter>&amp;R&amp;8Page &amp;P
&amp;D</c:oddFooter>
    </c:headerFooter>
    <c:pageMargins b="0.75000000000000233" l="0.70000000000000095" r="0.70000000000000095" t="0.7500000000000023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District</a:t>
            </a:r>
            <a:r>
              <a:rPr lang="en-US" sz="1400" b="1" baseline="0"/>
              <a:t>-wide</a:t>
            </a:r>
          </a:p>
        </c:rich>
      </c:tx>
      <c:layout>
        <c:manualLayout>
          <c:xMode val="edge"/>
          <c:yMode val="edge"/>
          <c:x val="0.67474231674649854"/>
          <c:y val="3.254121803155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266404199475078E-2"/>
          <c:y val="0.11491107317878971"/>
          <c:w val="0.46424496937882764"/>
          <c:h val="0.77915239616027021"/>
        </c:manualLayout>
      </c:layout>
      <c:pieChart>
        <c:varyColors val="1"/>
        <c:ser>
          <c:idx val="0"/>
          <c:order val="0"/>
          <c:tx>
            <c:strRef>
              <c:f>DWDO!$C$5</c:f>
              <c:strCache>
                <c:ptCount val="1"/>
                <c:pt idx="0">
                  <c:v>FY 2010-2011</c:v>
                </c:pt>
              </c:strCache>
            </c:strRef>
          </c:tx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DWDO!$A$6:$A$12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PlantsOperations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DWDO!$C$6:$C$12</c:f>
            </c:numRef>
          </c:val>
        </c:ser>
        <c:ser>
          <c:idx val="3"/>
          <c:order val="1"/>
          <c:tx>
            <c:strRef>
              <c:f>DWDO!$G$5</c:f>
              <c:strCache>
                <c:ptCount val="1"/>
                <c:pt idx="0">
                  <c:v>FY 2017-2018 (Proposed)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340808529212796E-2"/>
                  <c:y val="2.1021584345035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38550666837486E-2"/>
                  <c:y val="-3.75104317114218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Institution Support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346029147583046E-2"/>
                  <c:y val="2.2512062368760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Reserves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DWDO!$A$6:$A$12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PlantsOperations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DWDO!$G$6:$G$12</c:f>
              <c:numCache>
                <c:formatCode>_("$"* #,##0_);_("$"* \(#,##0\);_("$"* "-"??_);_(@_)</c:formatCode>
                <c:ptCount val="6"/>
                <c:pt idx="0">
                  <c:v>403461</c:v>
                </c:pt>
                <c:pt idx="1">
                  <c:v>239636</c:v>
                </c:pt>
                <c:pt idx="2">
                  <c:v>0</c:v>
                </c:pt>
                <c:pt idx="3">
                  <c:v>3008357</c:v>
                </c:pt>
                <c:pt idx="4">
                  <c:v>59600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949744447078783"/>
          <c:y val="0.17628223204703486"/>
          <c:w val="0.32841666169106065"/>
          <c:h val="0.7568988248641322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Siegal</a:t>
            </a:r>
            <a:r>
              <a:rPr lang="en-US" sz="1400" baseline="0"/>
              <a:t> Center</a:t>
            </a:r>
          </a:p>
        </c:rich>
      </c:tx>
      <c:layout>
        <c:manualLayout>
          <c:xMode val="edge"/>
          <c:yMode val="edge"/>
          <c:x val="0.67963064969301745"/>
          <c:y val="4.166682794595982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8476596675415576E-2"/>
          <c:y val="6.7310440361621454E-2"/>
          <c:w val="0.49138035870516183"/>
          <c:h val="0.81896726450860313"/>
        </c:manualLayout>
      </c:layout>
      <c:pieChart>
        <c:varyColors val="1"/>
        <c:ser>
          <c:idx val="0"/>
          <c:order val="0"/>
          <c:tx>
            <c:strRef>
              <c:f>DWDO!$C$48</c:f>
              <c:strCache>
                <c:ptCount val="1"/>
                <c:pt idx="0">
                  <c:v>FY 2010-2011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DWDO!$A$49:$A$55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DWDO!$C$49:$C$55</c:f>
            </c:numRef>
          </c:val>
        </c:ser>
        <c:ser>
          <c:idx val="3"/>
          <c:order val="1"/>
          <c:tx>
            <c:strRef>
              <c:f>DWDO!$G$48</c:f>
              <c:strCache>
                <c:ptCount val="1"/>
                <c:pt idx="0">
                  <c:v>FY 2017-2018 (Projection)</c:v>
                </c:pt>
              </c:strCache>
            </c:strRef>
          </c:tx>
          <c:dLbls>
            <c:dLbl>
              <c:idx val="0"/>
              <c:layout>
                <c:manualLayout>
                  <c:x val="2.0178431440563322E-2"/>
                  <c:y val="1.228948213864084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718235110479026E-2"/>
                  <c:y val="0.1643543516808957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3560442609872"/>
                  <c:y val="-2.030957882880267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38972562350411"/>
                  <c:y val="1.36549801540453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DWDO!$A$49:$A$55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DWDO!$G$49:$G$55</c:f>
              <c:numCache>
                <c:formatCode>_("$"* #,##0_);_("$"* \(#,##0\);_("$"* "-"??_);_(@_)</c:formatCode>
                <c:ptCount val="6"/>
                <c:pt idx="0">
                  <c:v>500000</c:v>
                </c:pt>
                <c:pt idx="1">
                  <c:v>162665</c:v>
                </c:pt>
                <c:pt idx="2">
                  <c:v>0</c:v>
                </c:pt>
                <c:pt idx="3">
                  <c:v>7879433</c:v>
                </c:pt>
                <c:pt idx="4">
                  <c:v>128600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42346248569151"/>
          <c:y val="0.14816793174144219"/>
          <c:w val="0.31443116306496932"/>
          <c:h val="0.763745619116800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Ops</a:t>
            </a:r>
            <a:r>
              <a:rPr lang="en-US" sz="1400" baseline="0"/>
              <a:t> Categories</a:t>
            </a:r>
            <a:endParaRPr lang="en-US" sz="1400"/>
          </a:p>
        </c:rich>
      </c:tx>
      <c:layout>
        <c:manualLayout>
          <c:xMode val="edge"/>
          <c:yMode val="edge"/>
          <c:x val="1.2861717320150597E-3"/>
          <c:y val="6.7064892750475155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3.094474227955548E-2"/>
                  <c:y val="-6.1127090166060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671497179873794E-2"/>
                  <c:y val="-1.3335809103312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428882559892781E-3"/>
                  <c:y val="-3.7557320799679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798458703300381E-2"/>
                  <c:y val="-3.08455687697262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8169389065728486"/>
                  <c:y val="-2.01245515411668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Hourly, Students
1.8%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4657954989668842E-2"/>
                  <c:y val="2.7742073075836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977243536047356"/>
                  <c:y val="0.24210024892192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8348690456246154E-2"/>
                  <c:y val="0.12466970291583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2897163120567376"/>
                  <c:y val="-1.7776961670304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5254649019936276E-2"/>
                  <c:y val="6.535950403355628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Cont &amp; Reserves
5.6%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Summary!$A$62:$A$75</c:f>
              <c:strCache>
                <c:ptCount val="14"/>
                <c:pt idx="0">
                  <c:v>FT Faculty</c:v>
                </c:pt>
                <c:pt idx="1">
                  <c:v>Faculty Stipend</c:v>
                </c:pt>
                <c:pt idx="2">
                  <c:v>PT / Pro Rata Faculty</c:v>
                </c:pt>
                <c:pt idx="3">
                  <c:v>Classified</c:v>
                </c:pt>
                <c:pt idx="4">
                  <c:v>Exempt</c:v>
                </c:pt>
                <c:pt idx="5">
                  <c:v>Overtime</c:v>
                </c:pt>
                <c:pt idx="6">
                  <c:v>Hourly, Students &amp; Other</c:v>
                </c:pt>
                <c:pt idx="7">
                  <c:v>Benefits</c:v>
                </c:pt>
                <c:pt idx="8">
                  <c:v>Goods &amp; Services</c:v>
                </c:pt>
                <c:pt idx="9">
                  <c:v>Travel</c:v>
                </c:pt>
                <c:pt idx="10">
                  <c:v>Equipment</c:v>
                </c:pt>
                <c:pt idx="11">
                  <c:v>Personal Services</c:v>
                </c:pt>
                <c:pt idx="12">
                  <c:v>Contingency &amp; Reserves</c:v>
                </c:pt>
                <c:pt idx="13">
                  <c:v>Other (Training Cont., Client Svcs, etc.)</c:v>
                </c:pt>
              </c:strCache>
            </c:strRef>
          </c:cat>
          <c:val>
            <c:numRef>
              <c:f>Summary!$K$62:$K$75</c:f>
              <c:numCache>
                <c:formatCode>_("$"* #,##0_);_("$"* \(#,##0\);_("$"* "-"??_);_(@_)</c:formatCode>
                <c:ptCount val="14"/>
                <c:pt idx="0">
                  <c:v>21176776</c:v>
                </c:pt>
                <c:pt idx="1">
                  <c:v>1323885</c:v>
                </c:pt>
                <c:pt idx="2">
                  <c:v>17623943.309999999</c:v>
                </c:pt>
                <c:pt idx="3">
                  <c:v>17431235.119999997</c:v>
                </c:pt>
                <c:pt idx="4">
                  <c:v>18164104.539999999</c:v>
                </c:pt>
                <c:pt idx="5">
                  <c:v>34229</c:v>
                </c:pt>
                <c:pt idx="6">
                  <c:v>2625538</c:v>
                </c:pt>
                <c:pt idx="7">
                  <c:v>27053000</c:v>
                </c:pt>
                <c:pt idx="8">
                  <c:v>15768659</c:v>
                </c:pt>
                <c:pt idx="9">
                  <c:v>386096</c:v>
                </c:pt>
                <c:pt idx="10">
                  <c:v>1395064</c:v>
                </c:pt>
                <c:pt idx="11">
                  <c:v>288863</c:v>
                </c:pt>
                <c:pt idx="12">
                  <c:v>21922</c:v>
                </c:pt>
                <c:pt idx="13">
                  <c:v>4687587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Staffing Expenditures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(Summary!$N$64:$N$66,Summary!$N$68)</c:f>
              <c:strCache>
                <c:ptCount val="4"/>
                <c:pt idx="0">
                  <c:v>Faculty</c:v>
                </c:pt>
                <c:pt idx="1">
                  <c:v>Classified</c:v>
                </c:pt>
                <c:pt idx="2">
                  <c:v>Exempt</c:v>
                </c:pt>
                <c:pt idx="3">
                  <c:v>Other</c:v>
                </c:pt>
              </c:strCache>
            </c:strRef>
          </c:cat>
          <c:val>
            <c:numRef>
              <c:f>(Summary!$O$64:$O$66,Summary!$O$68)</c:f>
              <c:numCache>
                <c:formatCode>_("$"* #,##0_);_("$"* \(#,##0\);_("$"* "-"??_);_(@_)</c:formatCode>
                <c:ptCount val="4"/>
                <c:pt idx="0">
                  <c:v>40124604.310000002</c:v>
                </c:pt>
                <c:pt idx="1">
                  <c:v>17465464.119999997</c:v>
                </c:pt>
                <c:pt idx="2">
                  <c:v>18164104.539999999</c:v>
                </c:pt>
                <c:pt idx="3">
                  <c:v>2625538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Budget</a:t>
            </a:r>
            <a:r>
              <a:rPr lang="en-US" sz="1600" baseline="0"/>
              <a:t> by Program Trend</a:t>
            </a:r>
            <a:endParaRPr lang="en-US" sz="16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51294924652419"/>
          <c:y val="4.8097563671231552E-2"/>
          <c:w val="0.84340887699878253"/>
          <c:h val="0.79050158225095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Summary!$C$28</c:f>
              <c:strCache>
                <c:ptCount val="1"/>
                <c:pt idx="0">
                  <c:v>FY Actual 2010-2011</c:v>
                </c:pt>
              </c:strCache>
            </c:strRef>
          </c:tx>
          <c:invertIfNegative val="0"/>
          <c:cat>
            <c:strRef>
              <c:f>Summary!$A$29:$A$34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Summary!$C$29:$C$34</c:f>
            </c:numRef>
          </c:val>
        </c:ser>
        <c:ser>
          <c:idx val="1"/>
          <c:order val="1"/>
          <c:tx>
            <c:strRef>
              <c:f>Summary!$E$28</c:f>
              <c:strCache>
                <c:ptCount val="1"/>
                <c:pt idx="0">
                  <c:v>FY 2014-2015</c:v>
                </c:pt>
              </c:strCache>
            </c:strRef>
          </c:tx>
          <c:invertIfNegative val="0"/>
          <c:cat>
            <c:strRef>
              <c:f>Summary!$A$29:$A$34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Summary!$E$29:$E$34</c:f>
              <c:numCache>
                <c:formatCode>_("$"* #,##0_);_("$"* \(#,##0\);_("$"* "-"??_);_(@_)</c:formatCode>
                <c:ptCount val="6"/>
                <c:pt idx="0">
                  <c:v>69704283</c:v>
                </c:pt>
                <c:pt idx="1">
                  <c:v>2373646</c:v>
                </c:pt>
                <c:pt idx="2">
                  <c:v>10811512</c:v>
                </c:pt>
                <c:pt idx="3">
                  <c:v>21506204</c:v>
                </c:pt>
                <c:pt idx="4">
                  <c:v>13182461</c:v>
                </c:pt>
                <c:pt idx="5">
                  <c:v>3591802</c:v>
                </c:pt>
              </c:numCache>
            </c:numRef>
          </c:val>
        </c:ser>
        <c:ser>
          <c:idx val="2"/>
          <c:order val="2"/>
          <c:tx>
            <c:strRef>
              <c:f>Summary!$G$28</c:f>
              <c:strCache>
                <c:ptCount val="1"/>
                <c:pt idx="0">
                  <c:v>FY 2015-2016</c:v>
                </c:pt>
              </c:strCache>
            </c:strRef>
          </c:tx>
          <c:invertIfNegative val="0"/>
          <c:cat>
            <c:strRef>
              <c:f>Summary!$A$29:$A$34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Summary!$G$29:$G$34</c:f>
              <c:numCache>
                <c:formatCode>_("$"* #,##0_);_("$"* \(#,##0\);_("$"* "-"??_);_(@_)</c:formatCode>
                <c:ptCount val="6"/>
                <c:pt idx="0">
                  <c:v>73272808</c:v>
                </c:pt>
                <c:pt idx="1">
                  <c:v>2422681</c:v>
                </c:pt>
                <c:pt idx="2">
                  <c:v>10803749</c:v>
                </c:pt>
                <c:pt idx="3">
                  <c:v>23422580</c:v>
                </c:pt>
                <c:pt idx="4">
                  <c:v>13572172</c:v>
                </c:pt>
                <c:pt idx="5">
                  <c:v>5364813</c:v>
                </c:pt>
              </c:numCache>
            </c:numRef>
          </c:val>
        </c:ser>
        <c:ser>
          <c:idx val="3"/>
          <c:order val="3"/>
          <c:tx>
            <c:strRef>
              <c:f>Summary!$I$28</c:f>
              <c:strCache>
                <c:ptCount val="1"/>
                <c:pt idx="0">
                  <c:v>FY 2016-2017</c:v>
                </c:pt>
              </c:strCache>
            </c:strRef>
          </c:tx>
          <c:invertIfNegative val="0"/>
          <c:cat>
            <c:strRef>
              <c:f>Summary!$A$29:$A$34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Summary!$I$29:$I$34</c:f>
              <c:numCache>
                <c:formatCode>_("$"* #,##0_);_("$"* \(#,##0\);_("$"* "-"??_);_(@_)</c:formatCode>
                <c:ptCount val="6"/>
                <c:pt idx="0">
                  <c:v>72680656</c:v>
                </c:pt>
                <c:pt idx="1">
                  <c:v>2514588</c:v>
                </c:pt>
                <c:pt idx="2">
                  <c:v>12461007</c:v>
                </c:pt>
                <c:pt idx="3">
                  <c:v>24733241</c:v>
                </c:pt>
                <c:pt idx="4">
                  <c:v>14046736</c:v>
                </c:pt>
                <c:pt idx="5">
                  <c:v>5477105</c:v>
                </c:pt>
              </c:numCache>
            </c:numRef>
          </c:val>
        </c:ser>
        <c:ser>
          <c:idx val="4"/>
          <c:order val="4"/>
          <c:tx>
            <c:strRef>
              <c:f>Summary!$K$28</c:f>
              <c:strCache>
                <c:ptCount val="1"/>
                <c:pt idx="0">
                  <c:v>FY 2017-18</c:v>
                </c:pt>
              </c:strCache>
            </c:strRef>
          </c:tx>
          <c:invertIfNegative val="0"/>
          <c:val>
            <c:numRef>
              <c:f>Summary!$K$29:$K$34</c:f>
              <c:numCache>
                <c:formatCode>_("$"* #,##0_);_("$"* \(#,##0\);_("$"* "-"??_);_(@_)</c:formatCode>
                <c:ptCount val="6"/>
                <c:pt idx="0">
                  <c:v>71821910.180000007</c:v>
                </c:pt>
                <c:pt idx="1">
                  <c:v>2649675</c:v>
                </c:pt>
                <c:pt idx="2">
                  <c:v>12596290.6</c:v>
                </c:pt>
                <c:pt idx="3">
                  <c:v>22631155.219999999</c:v>
                </c:pt>
                <c:pt idx="4">
                  <c:v>14504639.4</c:v>
                </c:pt>
                <c:pt idx="5">
                  <c:v>3777232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751784"/>
        <c:axId val="624752176"/>
      </c:barChart>
      <c:catAx>
        <c:axId val="624751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4752176"/>
        <c:crosses val="autoZero"/>
        <c:auto val="1"/>
        <c:lblAlgn val="ctr"/>
        <c:lblOffset val="100"/>
        <c:noMultiLvlLbl val="0"/>
      </c:catAx>
      <c:valAx>
        <c:axId val="62475217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41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62475178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73649766744759426"/>
          <c:y val="7.6533053984826627E-2"/>
          <c:w val="0.22011161467871138"/>
          <c:h val="0.40487511354786815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Operating</a:t>
            </a:r>
            <a:r>
              <a:rPr lang="en-US" sz="1400" b="1" baseline="0"/>
              <a:t> Budget Trend</a:t>
            </a:r>
            <a:endParaRPr lang="en-US" sz="1400" b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618166638787771"/>
          <c:y val="0.14784180633978691"/>
          <c:w val="0.76888845216118951"/>
          <c:h val="0.73851571053841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Summary!$A$36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cat>
            <c:strRef>
              <c:f>(Summary!$E$28,Summary!$G$28,Summary!$I$28,Summary!$K$28)</c:f>
              <c:strCache>
                <c:ptCount val="4"/>
                <c:pt idx="0">
                  <c:v>FY 2014-2015</c:v>
                </c:pt>
                <c:pt idx="1">
                  <c:v>FY 2015-2016</c:v>
                </c:pt>
                <c:pt idx="2">
                  <c:v>FY 2016-2017</c:v>
                </c:pt>
                <c:pt idx="3">
                  <c:v>FY 2017-18</c:v>
                </c:pt>
              </c:strCache>
            </c:strRef>
          </c:cat>
          <c:val>
            <c:numRef>
              <c:f>(Summary!$E$36,Summary!$G$36,Summary!$I$36,Summary!$K$36)</c:f>
              <c:numCache>
                <c:formatCode>_("$"* #,##0_);_("$"* \(#,##0\);_("$"* "-"??_);_(@_)</c:formatCode>
                <c:ptCount val="4"/>
                <c:pt idx="0">
                  <c:v>121169908</c:v>
                </c:pt>
                <c:pt idx="1">
                  <c:v>128858803</c:v>
                </c:pt>
                <c:pt idx="2">
                  <c:v>131913333</c:v>
                </c:pt>
                <c:pt idx="3">
                  <c:v>127980902.40000001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165912"/>
        <c:axId val="514166304"/>
      </c:barChart>
      <c:catAx>
        <c:axId val="51416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166304"/>
        <c:crosses val="autoZero"/>
        <c:auto val="1"/>
        <c:lblAlgn val="ctr"/>
        <c:lblOffset val="100"/>
        <c:noMultiLvlLbl val="0"/>
      </c:catAx>
      <c:valAx>
        <c:axId val="514166304"/>
        <c:scaling>
          <c:orientation val="minMax"/>
          <c:min val="10000000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51416591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Summary!$P$37</c:f>
              <c:strCache>
                <c:ptCount val="1"/>
                <c:pt idx="0">
                  <c:v>Instruction</c:v>
                </c:pt>
              </c:strCache>
            </c:strRef>
          </c:tx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Summary!$Q$37:$T$37</c:f>
              <c:numCache>
                <c:formatCode>0%</c:formatCode>
                <c:ptCount val="4"/>
                <c:pt idx="0">
                  <c:v>0.57526067445722584</c:v>
                </c:pt>
                <c:pt idx="1">
                  <c:v>0.56862865628202364</c:v>
                </c:pt>
                <c:pt idx="2">
                  <c:v>0.55097278150041129</c:v>
                </c:pt>
                <c:pt idx="3">
                  <c:v>0.56119240318780561</c:v>
                </c:pt>
              </c:numCache>
            </c:numRef>
          </c:val>
        </c:ser>
        <c:ser>
          <c:idx val="1"/>
          <c:order val="1"/>
          <c:tx>
            <c:strRef>
              <c:f>Summary!$P$38</c:f>
              <c:strCache>
                <c:ptCount val="1"/>
                <c:pt idx="0">
                  <c:v>Library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Summary!$Q$38:$T$38</c:f>
              <c:numCache>
                <c:formatCode>0%</c:formatCode>
                <c:ptCount val="4"/>
                <c:pt idx="0">
                  <c:v>1.9589401685441571E-2</c:v>
                </c:pt>
                <c:pt idx="1">
                  <c:v>1.8801051566496391E-2</c:v>
                </c:pt>
                <c:pt idx="2">
                  <c:v>1.9062424872548705E-2</c:v>
                </c:pt>
                <c:pt idx="3">
                  <c:v>2.0703674925798929E-2</c:v>
                </c:pt>
              </c:numCache>
            </c:numRef>
          </c:val>
        </c:ser>
        <c:ser>
          <c:idx val="2"/>
          <c:order val="2"/>
          <c:tx>
            <c:strRef>
              <c:f>Summary!$P$39</c:f>
              <c:strCache>
                <c:ptCount val="1"/>
                <c:pt idx="0">
                  <c:v>Student Services</c:v>
                </c:pt>
              </c:strCache>
            </c:strRef>
          </c:tx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Summary!$Q$39:$T$39</c:f>
              <c:numCache>
                <c:formatCode>0%</c:formatCode>
                <c:ptCount val="4"/>
                <c:pt idx="0">
                  <c:v>8.9226047774171785E-2</c:v>
                </c:pt>
                <c:pt idx="1">
                  <c:v>8.3841761280368243E-2</c:v>
                </c:pt>
                <c:pt idx="2">
                  <c:v>9.4463589969332365E-2</c:v>
                </c:pt>
                <c:pt idx="3">
                  <c:v>9.8423205054694152E-2</c:v>
                </c:pt>
              </c:numCache>
            </c:numRef>
          </c:val>
        </c:ser>
        <c:ser>
          <c:idx val="3"/>
          <c:order val="3"/>
          <c:tx>
            <c:strRef>
              <c:f>Summary!$P$40</c:f>
              <c:strCache>
                <c:ptCount val="1"/>
                <c:pt idx="0">
                  <c:v>Institutional Support</c:v>
                </c:pt>
              </c:strCache>
            </c:strRef>
          </c:tx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Summary!$Q$40:$T$40</c:f>
              <c:numCache>
                <c:formatCode>0%</c:formatCode>
                <c:ptCount val="4"/>
                <c:pt idx="0">
                  <c:v>0.17748799479157812</c:v>
                </c:pt>
                <c:pt idx="1">
                  <c:v>0.18176934330206374</c:v>
                </c:pt>
                <c:pt idx="2">
                  <c:v>0.1874961418797598</c:v>
                </c:pt>
                <c:pt idx="3">
                  <c:v>0.17683228353295311</c:v>
                </c:pt>
              </c:numCache>
            </c:numRef>
          </c:val>
        </c:ser>
        <c:ser>
          <c:idx val="4"/>
          <c:order val="4"/>
          <c:tx>
            <c:strRef>
              <c:f>Summary!$P$41</c:f>
              <c:strCache>
                <c:ptCount val="1"/>
                <c:pt idx="0">
                  <c:v>Plant Operations</c:v>
                </c:pt>
              </c:strCache>
            </c:strRef>
          </c:tx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Summary!$Q$41:$T$41</c:f>
              <c:numCache>
                <c:formatCode>0%</c:formatCode>
                <c:ptCount val="4"/>
                <c:pt idx="0">
                  <c:v>0.108793191458064</c:v>
                </c:pt>
                <c:pt idx="1">
                  <c:v>0.10532592018567796</c:v>
                </c:pt>
                <c:pt idx="2">
                  <c:v>0.10648458105444125</c:v>
                </c:pt>
                <c:pt idx="3">
                  <c:v>0.11333440480569701</c:v>
                </c:pt>
              </c:numCache>
            </c:numRef>
          </c:val>
        </c:ser>
        <c:ser>
          <c:idx val="5"/>
          <c:order val="5"/>
          <c:tx>
            <c:strRef>
              <c:f>Summary!$P$42</c:f>
              <c:strCache>
                <c:ptCount val="1"/>
                <c:pt idx="0">
                  <c:v>Contingency, Reserves &amp; Unallocated</c:v>
                </c:pt>
              </c:strCache>
            </c:strRef>
          </c:tx>
          <c:invertIfNegative val="0"/>
          <c:cat>
            <c:strRef>
              <c:f>Summary!$Q$36:$T$36</c:f>
              <c:strCache>
                <c:ptCount val="4"/>
                <c:pt idx="0">
                  <c:v>FY 1415</c:v>
                </c:pt>
                <c:pt idx="1">
                  <c:v>FY1516</c:v>
                </c:pt>
                <c:pt idx="2">
                  <c:v>FY1617</c:v>
                </c:pt>
                <c:pt idx="3">
                  <c:v>FY1718</c:v>
                </c:pt>
              </c:strCache>
            </c:strRef>
          </c:cat>
          <c:val>
            <c:numRef>
              <c:f>Summary!$Q$42:$T$42</c:f>
              <c:numCache>
                <c:formatCode>0%</c:formatCode>
                <c:ptCount val="4"/>
                <c:pt idx="0">
                  <c:v>2.9642689833518733E-2</c:v>
                </c:pt>
                <c:pt idx="1">
                  <c:v>4.1633267383369997E-2</c:v>
                </c:pt>
                <c:pt idx="2">
                  <c:v>4.1520480723506545E-2</c:v>
                </c:pt>
                <c:pt idx="3">
                  <c:v>2.9514028493051164E-2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4167088"/>
        <c:axId val="514167480"/>
      </c:barChart>
      <c:catAx>
        <c:axId val="51416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167480"/>
        <c:crosses val="autoZero"/>
        <c:auto val="1"/>
        <c:lblAlgn val="ctr"/>
        <c:lblOffset val="100"/>
        <c:noMultiLvlLbl val="0"/>
      </c:catAx>
      <c:valAx>
        <c:axId val="5141674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1416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647584592467"/>
          <c:y val="0.25335224782190735"/>
          <c:w val="0.31741902532453714"/>
          <c:h val="0.725915923161363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Seattle Central</a:t>
            </a:r>
            <a:r>
              <a:rPr lang="en-US" sz="1600" baseline="0"/>
              <a:t> Budgeted</a:t>
            </a:r>
          </a:p>
          <a:p>
            <a:pPr>
              <a:defRPr sz="1600"/>
            </a:pPr>
            <a:r>
              <a:rPr lang="en-US" sz="1600" baseline="0"/>
              <a:t>Expenses by Program Code</a:t>
            </a:r>
          </a:p>
          <a:p>
            <a:pPr>
              <a:defRPr sz="1600"/>
            </a:pPr>
            <a:r>
              <a:rPr lang="en-US" sz="1600" baseline="0"/>
              <a:t>FY 2017 - 2018</a:t>
            </a:r>
            <a:endParaRPr lang="en-US" sz="1600"/>
          </a:p>
        </c:rich>
      </c:tx>
      <c:layout>
        <c:manualLayout>
          <c:xMode val="edge"/>
          <c:yMode val="edge"/>
          <c:x val="2.0840127045951642E-2"/>
          <c:y val="6.8466081919604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1239879573876792"/>
          <c:y val="7.747656664370639E-2"/>
          <c:w val="0.33206530801296896"/>
          <c:h val="0.89191979971908586"/>
        </c:manualLayout>
      </c:layout>
      <c:pieChart>
        <c:varyColors val="1"/>
        <c:ser>
          <c:idx val="0"/>
          <c:order val="0"/>
          <c:tx>
            <c:strRef>
              <c:f>Central!$C$4</c:f>
              <c:strCache>
                <c:ptCount val="1"/>
                <c:pt idx="0">
                  <c:v>FY 2010-2011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Central!$A$5:$A$10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Central!$C$5:$C$10</c:f>
            </c:numRef>
          </c:val>
        </c:ser>
        <c:ser>
          <c:idx val="4"/>
          <c:order val="1"/>
          <c:tx>
            <c:strRef>
              <c:f>Central!$G$4</c:f>
              <c:strCache>
                <c:ptCount val="1"/>
                <c:pt idx="0">
                  <c:v>FY 2017-2018 (Proposed)</c:v>
                </c:pt>
              </c:strCache>
            </c:strRef>
          </c:tx>
          <c:dLbls>
            <c:dLbl>
              <c:idx val="0"/>
              <c:layout>
                <c:manualLayout>
                  <c:x val="9.5975496854985663E-3"/>
                  <c:y val="-7.5199893174665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Central!$A$5:$A$10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Central!$G$5:$G$10</c:f>
              <c:numCache>
                <c:formatCode>_(* #,##0_);_(* \(#,##0\);_(* "-"??_);_(@_)</c:formatCode>
                <c:ptCount val="6"/>
                <c:pt idx="0">
                  <c:v>28165398</c:v>
                </c:pt>
                <c:pt idx="1">
                  <c:v>1007763</c:v>
                </c:pt>
                <c:pt idx="2">
                  <c:v>5057440</c:v>
                </c:pt>
                <c:pt idx="3">
                  <c:v>4992277</c:v>
                </c:pt>
                <c:pt idx="4">
                  <c:v>6106673</c:v>
                </c:pt>
                <c:pt idx="5">
                  <c:v>3265095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North Seattle Budgeted </a:t>
            </a:r>
          </a:p>
          <a:p>
            <a:pPr>
              <a:defRPr sz="1600"/>
            </a:pPr>
            <a:r>
              <a:rPr lang="en-US" sz="1600"/>
              <a:t>Expenses by Program</a:t>
            </a:r>
            <a:r>
              <a:rPr lang="en-US" sz="1600" baseline="0"/>
              <a:t> Code</a:t>
            </a:r>
          </a:p>
          <a:p>
            <a:pPr>
              <a:defRPr sz="1600"/>
            </a:pPr>
            <a:r>
              <a:rPr lang="en-US" sz="1600" baseline="0"/>
              <a:t>FY 2017-2018</a:t>
            </a:r>
          </a:p>
        </c:rich>
      </c:tx>
      <c:layout>
        <c:manualLayout>
          <c:xMode val="edge"/>
          <c:yMode val="edge"/>
          <c:x val="7.554244810307803E-2"/>
          <c:y val="6.60687680009990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5802867368851619"/>
          <c:y val="6.7826504316478298E-2"/>
          <c:w val="0.19783361341390954"/>
          <c:h val="0.90828804791367879"/>
        </c:manualLayout>
      </c:layout>
      <c:pieChart>
        <c:varyColors val="1"/>
        <c:ser>
          <c:idx val="4"/>
          <c:order val="0"/>
          <c:dLbls>
            <c:dLbl>
              <c:idx val="0"/>
              <c:layout>
                <c:manualLayout>
                  <c:x val="7.8426379837611467E-3"/>
                  <c:y val="-2.73359260460260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North!$A$5:$A$10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North!$G$5:$G$10</c:f>
              <c:numCache>
                <c:formatCode>_("$"* #,##0_);_("$"* \(#,##0\);_("$"* "-"??_);_(@_)</c:formatCode>
                <c:ptCount val="6"/>
                <c:pt idx="0">
                  <c:v>20678364</c:v>
                </c:pt>
                <c:pt idx="1">
                  <c:v>619881</c:v>
                </c:pt>
                <c:pt idx="2">
                  <c:v>2951302</c:v>
                </c:pt>
                <c:pt idx="3">
                  <c:v>2895159</c:v>
                </c:pt>
                <c:pt idx="4">
                  <c:v>3543563</c:v>
                </c:pt>
                <c:pt idx="5">
                  <c:v>137139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South Seattle Budgted</a:t>
            </a:r>
          </a:p>
          <a:p>
            <a:pPr>
              <a:defRPr sz="1400"/>
            </a:pPr>
            <a:r>
              <a:rPr lang="en-US" sz="1400"/>
              <a:t>Expenses</a:t>
            </a:r>
            <a:r>
              <a:rPr lang="en-US" sz="1400" baseline="0"/>
              <a:t> by Program Code</a:t>
            </a:r>
          </a:p>
          <a:p>
            <a:pPr>
              <a:defRPr sz="1400"/>
            </a:pPr>
            <a:r>
              <a:rPr lang="en-US" sz="1400" baseline="0"/>
              <a:t>FY 2017 - 2018</a:t>
            </a:r>
            <a:endParaRPr lang="en-US" sz="1400"/>
          </a:p>
        </c:rich>
      </c:tx>
      <c:layout>
        <c:manualLayout>
          <c:xMode val="edge"/>
          <c:yMode val="edge"/>
          <c:x val="2.2838119016160185E-2"/>
          <c:y val="0.2413934288515172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138134132187419"/>
          <c:y val="7.2882653471190412E-2"/>
          <c:w val="0.4324644343631574"/>
          <c:h val="0.92711734652880962"/>
        </c:manualLayout>
      </c:layout>
      <c:pieChart>
        <c:varyColors val="1"/>
        <c:ser>
          <c:idx val="0"/>
          <c:order val="0"/>
          <c:tx>
            <c:strRef>
              <c:f>South!$C$4</c:f>
              <c:strCache>
                <c:ptCount val="1"/>
                <c:pt idx="0">
                  <c:v>FY 2010-2011</c:v>
                </c:pt>
              </c:strCache>
            </c:strRef>
          </c:tx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South!$A$5:$A$11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South!$C$5:$C$11</c:f>
            </c:numRef>
          </c:val>
        </c:ser>
        <c:ser>
          <c:idx val="3"/>
          <c:order val="3"/>
          <c:tx>
            <c:strRef>
              <c:f>South!$G$4</c:f>
              <c:strCache>
                <c:ptCount val="1"/>
                <c:pt idx="0">
                  <c:v>FY 2017-2018 (Proposed)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South!$A$5:$A$11</c:f>
              <c:strCache>
                <c:ptCount val="6"/>
                <c:pt idx="0">
                  <c:v>Instruction</c:v>
                </c:pt>
                <c:pt idx="1">
                  <c:v>Library</c:v>
                </c:pt>
                <c:pt idx="2">
                  <c:v>Student Services</c:v>
                </c:pt>
                <c:pt idx="3">
                  <c:v>Institutional Support</c:v>
                </c:pt>
                <c:pt idx="4">
                  <c:v>Plant Operations</c:v>
                </c:pt>
                <c:pt idx="5">
                  <c:v>Contingency, Reserves &amp; Unallocated</c:v>
                </c:pt>
              </c:strCache>
            </c:strRef>
          </c:cat>
          <c:val>
            <c:numRef>
              <c:f>South!$G$5:$G$11</c:f>
              <c:numCache>
                <c:formatCode>_("$"* #,##0_);_("$"* \(#,##0\);_("$"* "-"??_);_(@_)</c:formatCode>
                <c:ptCount val="6"/>
                <c:pt idx="0">
                  <c:v>19830503.43</c:v>
                </c:pt>
                <c:pt idx="1">
                  <c:v>619730</c:v>
                </c:pt>
                <c:pt idx="2">
                  <c:v>4222267</c:v>
                </c:pt>
                <c:pt idx="3">
                  <c:v>3391548.5</c:v>
                </c:pt>
                <c:pt idx="4">
                  <c:v>4116914.4</c:v>
                </c:pt>
                <c:pt idx="5">
                  <c:v>53026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South!$D$4</c15:sqref>
                        </c15:formulaRef>
                      </c:ext>
                    </c:extLst>
                    <c:strCache>
                      <c:ptCount val="1"/>
                      <c:pt idx="0">
                        <c:v>FY 2014-2015</c:v>
                      </c:pt>
                    </c:strCache>
                  </c:strRef>
                </c:tx>
                <c:dLbls>
                  <c:dLbl>
                    <c:idx val="0"/>
                    <c:layout>
                      <c:manualLayout>
                        <c:x val="-6.0079176312987396E-3"/>
                        <c:y val="5.9505651760395163E-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2"/>
                    <c:layout>
                      <c:manualLayout>
                        <c:x val="-2.3284724176257252E-2"/>
                        <c:y val="-0.14635517336594217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4"/>
                    <c:layout>
                      <c:manualLayout>
                        <c:x val="4.2551981267377314E-3"/>
                        <c:y val="6.7566185569420158E-3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b="1"/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South!$A$5:$A$11</c15:sqref>
                        </c15:formulaRef>
                      </c:ext>
                    </c:extLst>
                    <c:strCache>
                      <c:ptCount val="6"/>
                      <c:pt idx="0">
                        <c:v>Instruction</c:v>
                      </c:pt>
                      <c:pt idx="1">
                        <c:v>Library</c:v>
                      </c:pt>
                      <c:pt idx="2">
                        <c:v>Student Services</c:v>
                      </c:pt>
                      <c:pt idx="3">
                        <c:v>Institutional Support</c:v>
                      </c:pt>
                      <c:pt idx="4">
                        <c:v>Plant Operations</c:v>
                      </c:pt>
                      <c:pt idx="5">
                        <c:v>Contingency, Reserves &amp; Unallocated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South!$D$5:$D$11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20423420</c:v>
                      </c:pt>
                      <c:pt idx="1">
                        <c:v>666053</c:v>
                      </c:pt>
                      <c:pt idx="2">
                        <c:v>3366563</c:v>
                      </c:pt>
                      <c:pt idx="3">
                        <c:v>4103947</c:v>
                      </c:pt>
                      <c:pt idx="4">
                        <c:v>4057296</c:v>
                      </c:pt>
                      <c:pt idx="5">
                        <c:v>964348</c:v>
                      </c:pt>
                    </c:numCache>
                  </c:numRef>
                </c:val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South!$E$4</c15:sqref>
                        </c15:formulaRef>
                      </c:ext>
                    </c:extLst>
                    <c:strCache>
                      <c:ptCount val="1"/>
                      <c:pt idx="0">
                        <c:v>FY 2015-2016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South!$A$5:$A$11</c15:sqref>
                        </c15:formulaRef>
                      </c:ext>
                    </c:extLst>
                    <c:strCache>
                      <c:ptCount val="6"/>
                      <c:pt idx="0">
                        <c:v>Instruction</c:v>
                      </c:pt>
                      <c:pt idx="1">
                        <c:v>Library</c:v>
                      </c:pt>
                      <c:pt idx="2">
                        <c:v>Student Services</c:v>
                      </c:pt>
                      <c:pt idx="3">
                        <c:v>Institutional Support</c:v>
                      </c:pt>
                      <c:pt idx="4">
                        <c:v>Plant Operations</c:v>
                      </c:pt>
                      <c:pt idx="5">
                        <c:v>Contingency, Reserves &amp; Unallocated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South!$E$5:$E$11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19360786</c:v>
                      </c:pt>
                      <c:pt idx="1">
                        <c:v>670119</c:v>
                      </c:pt>
                      <c:pt idx="2">
                        <c:v>3855314</c:v>
                      </c:pt>
                      <c:pt idx="3">
                        <c:v>5500950</c:v>
                      </c:pt>
                      <c:pt idx="4">
                        <c:v>4087087</c:v>
                      </c:pt>
                      <c:pt idx="5">
                        <c:v>948376</c:v>
                      </c:pt>
                    </c:numCache>
                  </c:numRef>
                </c:val>
              </c15:ser>
            </c15:filteredPieSeries>
          </c:ext>
        </c:extLst>
      </c:pieChart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</xdr:colOff>
      <xdr:row>5</xdr:row>
      <xdr:rowOff>186266</xdr:rowOff>
    </xdr:from>
    <xdr:to>
      <xdr:col>4</xdr:col>
      <xdr:colOff>110066</xdr:colOff>
      <xdr:row>25</xdr:row>
      <xdr:rowOff>118533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40</xdr:row>
      <xdr:rowOff>105832</xdr:rowOff>
    </xdr:from>
    <xdr:to>
      <xdr:col>4</xdr:col>
      <xdr:colOff>1090083</xdr:colOff>
      <xdr:row>58</xdr:row>
      <xdr:rowOff>201082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1126066</xdr:colOff>
      <xdr:row>5</xdr:row>
      <xdr:rowOff>189061</xdr:rowOff>
    </xdr:from>
    <xdr:to>
      <xdr:col>12</xdr:col>
      <xdr:colOff>111425</xdr:colOff>
      <xdr:row>25</xdr:row>
      <xdr:rowOff>118533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1227668</xdr:colOff>
      <xdr:row>40</xdr:row>
      <xdr:rowOff>137583</xdr:rowOff>
    </xdr:from>
    <xdr:to>
      <xdr:col>11</xdr:col>
      <xdr:colOff>604309</xdr:colOff>
      <xdr:row>58</xdr:row>
      <xdr:rowOff>137583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68793</xdr:colOff>
      <xdr:row>0</xdr:row>
      <xdr:rowOff>84137</xdr:rowOff>
    </xdr:from>
    <xdr:to>
      <xdr:col>17</xdr:col>
      <xdr:colOff>249767</xdr:colOff>
      <xdr:row>14</xdr:row>
      <xdr:rowOff>16934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450144</xdr:colOff>
      <xdr:row>0</xdr:row>
      <xdr:rowOff>10583</xdr:rowOff>
    </xdr:from>
    <xdr:to>
      <xdr:col>11</xdr:col>
      <xdr:colOff>531120</xdr:colOff>
      <xdr:row>0</xdr:row>
      <xdr:rowOff>560917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477" y="10583"/>
          <a:ext cx="3298310" cy="550334"/>
        </a:xfrm>
        <a:prstGeom prst="rect">
          <a:avLst/>
        </a:prstGeom>
      </xdr:spPr>
    </xdr:pic>
    <xdr:clientData/>
  </xdr:twoCellAnchor>
  <xdr:twoCellAnchor>
    <xdr:from>
      <xdr:col>4</xdr:col>
      <xdr:colOff>135466</xdr:colOff>
      <xdr:row>6</xdr:row>
      <xdr:rowOff>1</xdr:rowOff>
    </xdr:from>
    <xdr:to>
      <xdr:col>8</xdr:col>
      <xdr:colOff>1092200</xdr:colOff>
      <xdr:row>25</xdr:row>
      <xdr:rowOff>110066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0.69474</cdr:x>
      <cdr:y>0.05924</cdr:y>
    </cdr:from>
    <cdr:to>
      <cdr:x>0.98421</cdr:x>
      <cdr:y>0.14218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800" y="211666"/>
          <a:ext cx="139700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0.65789</cdr:x>
      <cdr:y>0.01896</cdr:y>
    </cdr:from>
    <cdr:to>
      <cdr:x>0.99649</cdr:x>
      <cdr:y>0.2139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91447" y="60028"/>
          <a:ext cx="1591065" cy="61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baseline="0"/>
            <a:t>Budget by Program Area</a:t>
          </a:r>
          <a:endParaRPr lang="en-US" sz="12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994834</xdr:colOff>
      <xdr:row>32</xdr:row>
      <xdr:rowOff>1587</xdr:rowOff>
    </xdr:from>
    <xdr:to>
      <xdr:col>6</xdr:col>
      <xdr:colOff>963083</xdr:colOff>
      <xdr:row>43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1031875</xdr:colOff>
      <xdr:row>0</xdr:row>
      <xdr:rowOff>0</xdr:rowOff>
    </xdr:from>
    <xdr:to>
      <xdr:col>6</xdr:col>
      <xdr:colOff>1663136</xdr:colOff>
      <xdr:row>0</xdr:row>
      <xdr:rowOff>481626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475" y="0"/>
          <a:ext cx="4003111" cy="4816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884767</xdr:colOff>
      <xdr:row>31</xdr:row>
      <xdr:rowOff>148168</xdr:rowOff>
    </xdr:from>
    <xdr:to>
      <xdr:col>6</xdr:col>
      <xdr:colOff>905934</xdr:colOff>
      <xdr:row>42</xdr:row>
      <xdr:rowOff>86783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666750</xdr:colOff>
      <xdr:row>0</xdr:row>
      <xdr:rowOff>10584</xdr:rowOff>
    </xdr:from>
    <xdr:to>
      <xdr:col>6</xdr:col>
      <xdr:colOff>1667932</xdr:colOff>
      <xdr:row>1</xdr:row>
      <xdr:rowOff>2479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3" y="10584"/>
          <a:ext cx="2677582" cy="7962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605367</xdr:colOff>
      <xdr:row>31</xdr:row>
      <xdr:rowOff>48684</xdr:rowOff>
    </xdr:from>
    <xdr:to>
      <xdr:col>6</xdr:col>
      <xdr:colOff>954617</xdr:colOff>
      <xdr:row>44</xdr:row>
      <xdr:rowOff>172508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1195917</xdr:colOff>
      <xdr:row>0</xdr:row>
      <xdr:rowOff>42333</xdr:rowOff>
    </xdr:from>
    <xdr:to>
      <xdr:col>7</xdr:col>
      <xdr:colOff>13758</xdr:colOff>
      <xdr:row>0</xdr:row>
      <xdr:rowOff>551349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0" y="42333"/>
          <a:ext cx="3951816" cy="5090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941916</xdr:colOff>
      <xdr:row>31</xdr:row>
      <xdr:rowOff>74084</xdr:rowOff>
    </xdr:from>
    <xdr:to>
      <xdr:col>6</xdr:col>
      <xdr:colOff>846667</xdr:colOff>
      <xdr:row>44</xdr:row>
      <xdr:rowOff>176742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243417</xdr:colOff>
      <xdr:row>0</xdr:row>
      <xdr:rowOff>0</xdr:rowOff>
    </xdr:from>
    <xdr:to>
      <xdr:col>6</xdr:col>
      <xdr:colOff>1743963</xdr:colOff>
      <xdr:row>0</xdr:row>
      <xdr:rowOff>839335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0" y="0"/>
          <a:ext cx="3176946" cy="8393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32</xdr:row>
      <xdr:rowOff>25401</xdr:rowOff>
    </xdr:from>
    <xdr:to>
      <xdr:col>3</xdr:col>
      <xdr:colOff>406400</xdr:colOff>
      <xdr:row>46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1710266</xdr:colOff>
      <xdr:row>32</xdr:row>
      <xdr:rowOff>98425</xdr:rowOff>
    </xdr:from>
    <xdr:to>
      <xdr:col>6</xdr:col>
      <xdr:colOff>1473200</xdr:colOff>
      <xdr:row>46</xdr:row>
      <xdr:rowOff>67733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13</xdr:row>
      <xdr:rowOff>157852</xdr:rowOff>
    </xdr:from>
    <xdr:to>
      <xdr:col>22</xdr:col>
      <xdr:colOff>63510</xdr:colOff>
      <xdr:row>32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2634352"/>
          <a:ext cx="8369310" cy="347117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11</xdr:col>
      <xdr:colOff>409575</xdr:colOff>
      <xdr:row>36</xdr:row>
      <xdr:rowOff>156666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2050" y="3429000"/>
          <a:ext cx="2238375" cy="168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2"/>
  <sheetViews>
    <sheetView tabSelected="1" topLeftCell="A40" zoomScale="90" zoomScaleNormal="90" zoomScaleSheetLayoutView="100" workbookViewId="0">
      <selection activeCell="O73" sqref="O73"/>
    </sheetView>
  </sheetViews>
  <sheetFormatPr defaultColWidth="9.140625" defaultRowHeight="12.75" outlineLevelRow="1" outlineLevelCol="1" x14ac:dyDescent="0.2"/>
  <cols>
    <col min="1" max="1" width="34.7109375" style="24" customWidth="1"/>
    <col min="2" max="2" width="13.85546875" style="24" customWidth="1" outlineLevel="1"/>
    <col min="3" max="3" width="20.7109375" style="24" hidden="1" customWidth="1" outlineLevel="1"/>
    <col min="4" max="4" width="7.140625" style="24" hidden="1" customWidth="1" outlineLevel="1"/>
    <col min="5" max="5" width="20.7109375" style="24" customWidth="1" outlineLevel="1"/>
    <col min="6" max="6" width="6.7109375" style="24" customWidth="1" outlineLevel="1"/>
    <col min="7" max="7" width="20.7109375" style="24" customWidth="1" outlineLevel="1"/>
    <col min="8" max="8" width="6.7109375" style="24" customWidth="1" outlineLevel="1"/>
    <col min="9" max="9" width="20.7109375" style="24" customWidth="1"/>
    <col min="10" max="10" width="6.7109375" style="24" customWidth="1"/>
    <col min="11" max="11" width="20.7109375" style="24" customWidth="1"/>
    <col min="12" max="12" width="9.140625" style="24" customWidth="1"/>
    <col min="13" max="13" width="12.5703125" style="24" customWidth="1"/>
    <col min="14" max="14" width="9.140625" style="24"/>
    <col min="15" max="15" width="12" style="24" bestFit="1" customWidth="1"/>
    <col min="16" max="16" width="25.42578125" style="24" customWidth="1"/>
    <col min="17" max="16384" width="9.140625" style="24"/>
  </cols>
  <sheetData>
    <row r="1" spans="1:15" ht="53.25" customHeight="1" thickTop="1" thickBot="1" x14ac:dyDescent="0.25">
      <c r="A1" s="32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ht="18.75" thickTop="1" x14ac:dyDescent="0.2">
      <c r="A2" s="95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ht="10.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5" s="96" customFormat="1" ht="37.5" x14ac:dyDescent="0.3">
      <c r="A4" s="23" t="s">
        <v>91</v>
      </c>
      <c r="B4" s="97"/>
      <c r="C4" s="103" t="s">
        <v>78</v>
      </c>
      <c r="D4" s="104"/>
      <c r="E4" s="119" t="s">
        <v>142</v>
      </c>
      <c r="F4" s="104"/>
      <c r="G4" s="112" t="s">
        <v>93</v>
      </c>
      <c r="H4" s="107" t="s">
        <v>79</v>
      </c>
      <c r="I4" s="112" t="s">
        <v>124</v>
      </c>
      <c r="J4" s="107" t="s">
        <v>79</v>
      </c>
      <c r="K4" s="164" t="s">
        <v>145</v>
      </c>
      <c r="L4" s="107" t="s">
        <v>79</v>
      </c>
    </row>
    <row r="5" spans="1:15" s="96" customFormat="1" ht="19.5" thickBot="1" x14ac:dyDescent="0.35">
      <c r="A5" s="98" t="s">
        <v>44</v>
      </c>
      <c r="B5" s="98"/>
      <c r="C5" s="99">
        <f>C36</f>
        <v>120332159</v>
      </c>
      <c r="D5" s="100"/>
      <c r="E5" s="99">
        <f>E36</f>
        <v>121169908</v>
      </c>
      <c r="F5" s="100"/>
      <c r="G5" s="101">
        <f>G36</f>
        <v>128858803</v>
      </c>
      <c r="H5" s="105">
        <f>(G5/E5)-1</f>
        <v>6.3455482692947207E-2</v>
      </c>
      <c r="I5" s="101">
        <f>I36</f>
        <v>131913333</v>
      </c>
      <c r="J5" s="105">
        <f>(I5/G5)-1</f>
        <v>2.3704472871752591E-2</v>
      </c>
      <c r="K5" s="102">
        <f>K36</f>
        <v>127980902.40000001</v>
      </c>
      <c r="L5" s="105">
        <f>(K5/I5)-1</f>
        <v>-2.98107136751673E-2</v>
      </c>
    </row>
    <row r="6" spans="1:15" ht="15.75" outlineLevel="1" x14ac:dyDescent="0.25">
      <c r="A6" s="12"/>
      <c r="B6" s="12"/>
      <c r="C6" s="35"/>
      <c r="D6" s="36"/>
      <c r="E6" s="35"/>
      <c r="F6" s="36"/>
      <c r="G6" s="35"/>
      <c r="H6" s="36"/>
      <c r="I6" s="35"/>
      <c r="J6" s="29"/>
      <c r="K6" s="35"/>
      <c r="L6" s="29"/>
    </row>
    <row r="7" spans="1:15" outlineLevel="1" x14ac:dyDescent="0.2">
      <c r="A7" s="27"/>
      <c r="B7" s="27"/>
      <c r="C7" s="30"/>
      <c r="D7" s="29"/>
      <c r="E7" s="30"/>
      <c r="F7" s="29"/>
      <c r="G7" s="30"/>
      <c r="H7" s="29"/>
      <c r="I7" s="30"/>
      <c r="J7" s="29"/>
      <c r="K7" s="30"/>
      <c r="L7" s="29"/>
    </row>
    <row r="8" spans="1:15" outlineLevel="1" x14ac:dyDescent="0.2">
      <c r="A8" s="27"/>
      <c r="B8" s="27"/>
      <c r="C8" s="30"/>
      <c r="D8" s="29"/>
      <c r="E8" s="30"/>
      <c r="F8" s="29"/>
      <c r="G8" s="30"/>
      <c r="H8" s="29"/>
      <c r="I8" s="30"/>
      <c r="J8" s="29"/>
      <c r="K8" s="30"/>
      <c r="L8" s="29"/>
    </row>
    <row r="9" spans="1:15" outlineLevel="1" x14ac:dyDescent="0.2">
      <c r="A9" s="27"/>
      <c r="B9" s="27"/>
      <c r="C9" s="30"/>
      <c r="D9" s="29"/>
      <c r="E9" s="30"/>
      <c r="F9" s="29"/>
      <c r="G9" s="30"/>
      <c r="H9" s="29"/>
      <c r="I9" s="30"/>
      <c r="J9" s="29"/>
      <c r="K9" s="30"/>
      <c r="L9" s="29"/>
      <c r="O9" s="106"/>
    </row>
    <row r="10" spans="1:15" outlineLevel="1" x14ac:dyDescent="0.2">
      <c r="A10" s="27"/>
      <c r="B10" s="27"/>
      <c r="C10" s="30"/>
      <c r="D10" s="29"/>
      <c r="E10" s="30"/>
      <c r="F10" s="29"/>
      <c r="G10" s="30"/>
      <c r="H10" s="29"/>
      <c r="I10" s="30"/>
      <c r="J10" s="29"/>
      <c r="K10" s="30"/>
      <c r="L10" s="29"/>
    </row>
    <row r="11" spans="1:15" outlineLevel="1" x14ac:dyDescent="0.2">
      <c r="A11" s="27"/>
      <c r="B11" s="27"/>
      <c r="C11" s="30"/>
      <c r="D11" s="29"/>
      <c r="E11" s="30"/>
      <c r="F11" s="29"/>
      <c r="G11" s="30"/>
      <c r="H11" s="29"/>
      <c r="I11" s="30"/>
      <c r="J11" s="29"/>
      <c r="K11" s="30"/>
      <c r="L11" s="29"/>
    </row>
    <row r="12" spans="1:15" outlineLevel="1" x14ac:dyDescent="0.2">
      <c r="A12" s="27"/>
      <c r="B12" s="27"/>
      <c r="C12" s="30"/>
      <c r="D12" s="29"/>
      <c r="E12" s="30"/>
      <c r="F12" s="29"/>
      <c r="G12" s="30"/>
      <c r="H12" s="29"/>
      <c r="I12" s="30"/>
      <c r="J12" s="29"/>
      <c r="K12" s="30"/>
      <c r="L12" s="29"/>
    </row>
    <row r="13" spans="1:15" outlineLevel="1" x14ac:dyDescent="0.2">
      <c r="A13" s="27"/>
      <c r="B13" s="27"/>
      <c r="C13" s="30"/>
      <c r="D13" s="29"/>
      <c r="E13" s="30"/>
      <c r="F13" s="29"/>
      <c r="G13" s="30"/>
      <c r="H13" s="29"/>
      <c r="I13" s="30"/>
      <c r="J13" s="29"/>
      <c r="K13" s="30"/>
      <c r="L13" s="29"/>
    </row>
    <row r="14" spans="1:15" outlineLevel="1" x14ac:dyDescent="0.2">
      <c r="A14" s="27"/>
      <c r="B14" s="27"/>
      <c r="C14" s="30"/>
      <c r="D14" s="29"/>
      <c r="E14" s="30"/>
      <c r="F14" s="29"/>
      <c r="G14" s="30"/>
      <c r="H14" s="29"/>
      <c r="I14" s="30"/>
      <c r="J14" s="29"/>
      <c r="K14" s="30"/>
      <c r="L14" s="29"/>
    </row>
    <row r="15" spans="1:15" outlineLevel="1" x14ac:dyDescent="0.2">
      <c r="A15" s="27"/>
      <c r="B15" s="27"/>
      <c r="C15" s="30"/>
      <c r="D15" s="29"/>
      <c r="E15" s="30"/>
      <c r="F15" s="29"/>
      <c r="G15" s="30"/>
      <c r="H15" s="29"/>
      <c r="I15" s="30"/>
      <c r="J15" s="29"/>
      <c r="K15" s="30"/>
      <c r="L15" s="29"/>
    </row>
    <row r="16" spans="1:15" outlineLevel="1" x14ac:dyDescent="0.2">
      <c r="A16" s="27"/>
      <c r="B16" s="27"/>
      <c r="C16" s="30"/>
      <c r="D16" s="29"/>
      <c r="E16" s="30"/>
      <c r="F16" s="29"/>
      <c r="G16" s="30"/>
      <c r="H16" s="29"/>
      <c r="I16" s="30"/>
      <c r="J16" s="29"/>
      <c r="K16" s="30"/>
      <c r="L16" s="29"/>
    </row>
    <row r="17" spans="1:14" outlineLevel="1" x14ac:dyDescent="0.2">
      <c r="A17" s="27"/>
      <c r="B17" s="27"/>
      <c r="C17" s="30"/>
      <c r="D17" s="29"/>
      <c r="E17" s="30"/>
      <c r="F17" s="29"/>
      <c r="G17" s="30"/>
      <c r="H17" s="29"/>
      <c r="I17" s="30"/>
      <c r="J17" s="29"/>
      <c r="K17" s="30"/>
      <c r="L17" s="29"/>
    </row>
    <row r="18" spans="1:14" outlineLevel="1" x14ac:dyDescent="0.2">
      <c r="A18" s="27"/>
      <c r="B18" s="27"/>
      <c r="C18" s="30"/>
      <c r="D18" s="29"/>
      <c r="E18" s="30"/>
      <c r="F18" s="29"/>
      <c r="G18" s="30"/>
      <c r="H18" s="29"/>
      <c r="I18" s="30"/>
      <c r="J18" s="29"/>
      <c r="K18" s="30"/>
      <c r="L18" s="29"/>
    </row>
    <row r="19" spans="1:14" outlineLevel="1" x14ac:dyDescent="0.2">
      <c r="A19" s="27"/>
      <c r="B19" s="27"/>
      <c r="C19" s="30"/>
      <c r="D19" s="29"/>
      <c r="E19" s="30"/>
      <c r="F19" s="29"/>
      <c r="G19" s="30"/>
      <c r="H19" s="29"/>
      <c r="I19" s="30"/>
      <c r="J19" s="29"/>
      <c r="K19" s="30"/>
      <c r="L19" s="29"/>
    </row>
    <row r="20" spans="1:14" outlineLevel="1" x14ac:dyDescent="0.2">
      <c r="A20" s="27"/>
      <c r="B20" s="27"/>
      <c r="C20" s="30"/>
      <c r="D20" s="29"/>
      <c r="E20" s="30"/>
      <c r="F20" s="29"/>
      <c r="G20" s="30"/>
      <c r="H20" s="29"/>
      <c r="I20" s="30"/>
      <c r="J20" s="29"/>
      <c r="K20" s="30"/>
      <c r="L20" s="29"/>
    </row>
    <row r="21" spans="1:14" outlineLevel="1" x14ac:dyDescent="0.2">
      <c r="A21" s="27"/>
      <c r="B21" s="27"/>
      <c r="C21" s="30"/>
      <c r="D21" s="29"/>
      <c r="E21" s="30"/>
      <c r="F21" s="29"/>
      <c r="G21" s="30"/>
      <c r="H21" s="29"/>
      <c r="I21" s="30"/>
      <c r="J21" s="29"/>
      <c r="K21" s="30"/>
      <c r="L21" s="29"/>
    </row>
    <row r="22" spans="1:14" outlineLevel="1" x14ac:dyDescent="0.2">
      <c r="A22" s="27"/>
      <c r="B22" s="27"/>
      <c r="C22" s="30"/>
      <c r="D22" s="29"/>
      <c r="E22" s="30"/>
      <c r="F22" s="29"/>
      <c r="G22" s="30"/>
      <c r="H22" s="29"/>
      <c r="I22" s="30"/>
      <c r="J22" s="29"/>
      <c r="K22" s="30"/>
      <c r="L22" s="29"/>
    </row>
    <row r="23" spans="1:14" outlineLevel="1" x14ac:dyDescent="0.2">
      <c r="A23" s="27"/>
      <c r="B23" s="27"/>
      <c r="C23" s="30"/>
      <c r="D23" s="133"/>
      <c r="E23" s="134"/>
      <c r="F23" s="136"/>
      <c r="G23" s="30"/>
      <c r="H23" s="29"/>
      <c r="I23" s="30"/>
      <c r="J23" s="29"/>
      <c r="K23" s="30"/>
      <c r="L23" s="29"/>
    </row>
    <row r="24" spans="1:14" outlineLevel="1" x14ac:dyDescent="0.2">
      <c r="A24" s="27"/>
      <c r="B24" s="27"/>
      <c r="C24" s="30"/>
      <c r="D24" s="29"/>
      <c r="E24" s="30"/>
      <c r="F24" s="29"/>
      <c r="G24" s="30"/>
      <c r="H24" s="29"/>
      <c r="I24" s="30"/>
      <c r="J24" s="29"/>
      <c r="K24" s="30"/>
      <c r="L24" s="29"/>
    </row>
    <row r="25" spans="1:14" outlineLevel="1" x14ac:dyDescent="0.2">
      <c r="A25" s="27"/>
      <c r="B25" s="27"/>
      <c r="C25" s="30"/>
      <c r="D25" s="29"/>
      <c r="E25" s="30"/>
      <c r="F25" s="29"/>
      <c r="G25" s="30"/>
      <c r="H25" s="29"/>
      <c r="I25" s="30"/>
      <c r="J25" s="29"/>
      <c r="K25" s="30"/>
      <c r="L25" s="29"/>
    </row>
    <row r="26" spans="1:14" x14ac:dyDescent="0.2">
      <c r="A26" s="27"/>
      <c r="B26" s="27"/>
      <c r="C26" s="30"/>
      <c r="D26" s="29"/>
      <c r="E26" s="30"/>
      <c r="F26" s="29"/>
      <c r="G26" s="30"/>
      <c r="H26" s="29"/>
      <c r="I26" s="30"/>
      <c r="J26" s="29"/>
      <c r="K26" s="30"/>
      <c r="L26" s="29"/>
    </row>
    <row r="27" spans="1:14" outlineLevel="1" x14ac:dyDescent="0.2"/>
    <row r="28" spans="1:14" ht="15.75" outlineLevel="1" x14ac:dyDescent="0.25">
      <c r="A28" s="9" t="s">
        <v>1</v>
      </c>
      <c r="B28" s="9" t="s">
        <v>3</v>
      </c>
      <c r="C28" s="48" t="s">
        <v>55</v>
      </c>
      <c r="D28" s="48" t="s">
        <v>42</v>
      </c>
      <c r="E28" s="78" t="s">
        <v>80</v>
      </c>
      <c r="F28" s="48" t="s">
        <v>42</v>
      </c>
      <c r="G28" s="78" t="s">
        <v>93</v>
      </c>
      <c r="H28" s="48" t="s">
        <v>42</v>
      </c>
      <c r="I28" s="59" t="s">
        <v>124</v>
      </c>
      <c r="J28" s="48" t="s">
        <v>42</v>
      </c>
      <c r="K28" s="59" t="s">
        <v>136</v>
      </c>
      <c r="L28" s="48" t="s">
        <v>42</v>
      </c>
    </row>
    <row r="29" spans="1:14" ht="15.75" outlineLevel="1" x14ac:dyDescent="0.25">
      <c r="A29" s="17" t="s">
        <v>0</v>
      </c>
      <c r="B29" s="17" t="s">
        <v>2</v>
      </c>
      <c r="C29" s="3">
        <f>Central!C5+North!C5+South!C5+SVI!C5+DWDO!C6+DWDO!C49</f>
        <v>70096994</v>
      </c>
      <c r="D29" s="54">
        <f>C29/C36</f>
        <v>0.58252918074876392</v>
      </c>
      <c r="E29" s="3">
        <f>Central!D5+North!D5+South!D5+SVI!D5+DWDO!D6+DWDO!D49</f>
        <v>69704283</v>
      </c>
      <c r="F29" s="54">
        <f>E29/E36</f>
        <v>0.57526067445722584</v>
      </c>
      <c r="G29" s="37">
        <f>Central!E5+North!E5+South!E5+SVI!E5+DWDO!E6+DWDO!E49</f>
        <v>73272808</v>
      </c>
      <c r="H29" s="54">
        <f>G29/G$36</f>
        <v>0.56862865628202364</v>
      </c>
      <c r="I29" s="37">
        <f>Central!F5+North!F5+South!F5+SVI!F5+DWDO!F6+DWDO!F49</f>
        <v>72680656</v>
      </c>
      <c r="J29" s="54">
        <f>I29/I36</f>
        <v>0.55097278150041129</v>
      </c>
      <c r="K29" s="40">
        <f>'Data Worksheet for FY 1718'!I3</f>
        <v>71821910.180000007</v>
      </c>
      <c r="L29" s="54">
        <f>K29/K36</f>
        <v>0.56119240318780561</v>
      </c>
      <c r="N29" s="24" t="s">
        <v>69</v>
      </c>
    </row>
    <row r="30" spans="1:14" ht="15.75" outlineLevel="1" x14ac:dyDescent="0.25">
      <c r="A30" s="17" t="s">
        <v>4</v>
      </c>
      <c r="B30" s="17" t="s">
        <v>5</v>
      </c>
      <c r="C30" s="3">
        <f>Central!C6+North!C6+South!C6+SVI!C6+DWDO!C7+DWDO!C50</f>
        <v>2697200</v>
      </c>
      <c r="D30" s="54">
        <f>C30/C36</f>
        <v>2.2414623176502634E-2</v>
      </c>
      <c r="E30" s="3">
        <f>Central!D6+North!D6+South!D6+SVI!D6+DWDO!D7+DWDO!D50</f>
        <v>2373646</v>
      </c>
      <c r="F30" s="54">
        <f>E30/E36</f>
        <v>1.9589401685441571E-2</v>
      </c>
      <c r="G30" s="37">
        <f>Central!E6+North!E6+South!E6+SVI!E6+DWDO!E7+DWDO!E50</f>
        <v>2422681</v>
      </c>
      <c r="H30" s="54">
        <f t="shared" ref="H30:H35" si="0">G30/G$36</f>
        <v>1.8801051566496391E-2</v>
      </c>
      <c r="I30" s="37">
        <f>Central!F6+North!F6+South!F6+SVI!F6+DWDO!F7+DWDO!F50</f>
        <v>2514588</v>
      </c>
      <c r="J30" s="54">
        <f>I30/I36</f>
        <v>1.9062424872548705E-2</v>
      </c>
      <c r="K30" s="40">
        <f>'Data Worksheet for FY 1718'!I4</f>
        <v>2649675</v>
      </c>
      <c r="L30" s="54">
        <f>K30/K36</f>
        <v>2.0703674925798929E-2</v>
      </c>
    </row>
    <row r="31" spans="1:14" ht="15.75" outlineLevel="1" x14ac:dyDescent="0.25">
      <c r="A31" s="17" t="s">
        <v>6</v>
      </c>
      <c r="B31" s="17" t="s">
        <v>7</v>
      </c>
      <c r="C31" s="3">
        <f>Central!C7+North!C7+South!C7+SVI!C7+DWDO!C8+DWDO!C51</f>
        <v>13304291</v>
      </c>
      <c r="D31" s="54">
        <f>C31/C36</f>
        <v>0.11056305405440287</v>
      </c>
      <c r="E31" s="3">
        <f>Central!D7+North!D7+South!D7+SVI!D7+DWDO!D8+DWDO!D51</f>
        <v>10811512</v>
      </c>
      <c r="F31" s="54">
        <f>E31/E36</f>
        <v>8.9226047774171785E-2</v>
      </c>
      <c r="G31" s="37">
        <f>Central!E7+North!E7+South!E7+SVI!E7+DWDO!E8+DWDO!E51</f>
        <v>10803749</v>
      </c>
      <c r="H31" s="54">
        <f t="shared" si="0"/>
        <v>8.3841761280368243E-2</v>
      </c>
      <c r="I31" s="37">
        <f>Central!F7+North!F7+South!F7+SVI!F7+DWDO!F8+DWDO!F51</f>
        <v>12461007</v>
      </c>
      <c r="J31" s="54">
        <f>I31/I36</f>
        <v>9.4463589969332365E-2</v>
      </c>
      <c r="K31" s="40">
        <f>'Data Worksheet for FY 1718'!I5</f>
        <v>12596290.6</v>
      </c>
      <c r="L31" s="54">
        <f>K31/K36</f>
        <v>9.8423205054694152E-2</v>
      </c>
    </row>
    <row r="32" spans="1:14" ht="15.75" outlineLevel="1" x14ac:dyDescent="0.25">
      <c r="A32" s="17" t="s">
        <v>8</v>
      </c>
      <c r="B32" s="17" t="s">
        <v>9</v>
      </c>
      <c r="C32" s="3">
        <f>Central!C8+North!C8+South!C8+SVI!C8+DWDO!C9+DWDO!C52</f>
        <v>18268941</v>
      </c>
      <c r="D32" s="54">
        <f>C32/C36</f>
        <v>0.15182093591456294</v>
      </c>
      <c r="E32" s="3">
        <f>Central!D8+North!D8+South!D8+SVI!D8+DWDO!D9+DWDO!D52</f>
        <v>21506204</v>
      </c>
      <c r="F32" s="54">
        <f>E32/E36</f>
        <v>0.17748799479157812</v>
      </c>
      <c r="G32" s="37">
        <f>Central!E8+North!E8+South!E8+SVI!E8+DWDO!E9+DWDO!E52</f>
        <v>23422580</v>
      </c>
      <c r="H32" s="54">
        <f t="shared" si="0"/>
        <v>0.18176934330206374</v>
      </c>
      <c r="I32" s="37">
        <f>Central!F8+North!F8+South!F8+SVI!F8+DWDO!F9+DWDO!F52</f>
        <v>24733241</v>
      </c>
      <c r="J32" s="54">
        <f>I32/I36</f>
        <v>0.1874961418797598</v>
      </c>
      <c r="K32" s="40">
        <f>'Data Worksheet for FY 1718'!I6</f>
        <v>22631155.219999999</v>
      </c>
      <c r="L32" s="54">
        <f>K32/K36</f>
        <v>0.17683228353295311</v>
      </c>
    </row>
    <row r="33" spans="1:20" ht="15.75" outlineLevel="1" x14ac:dyDescent="0.25">
      <c r="A33" s="17" t="s">
        <v>32</v>
      </c>
      <c r="B33" s="17" t="s">
        <v>11</v>
      </c>
      <c r="C33" s="3">
        <f>Central!C9+North!C9+South!C9+SVI!C9+DWDO!C10+DWDO!C53</f>
        <v>12609050</v>
      </c>
      <c r="D33" s="54">
        <f>C33/C36</f>
        <v>0.10478537163120293</v>
      </c>
      <c r="E33" s="3">
        <f>Central!D9+North!D9+South!D9+SVI!D9+DWDO!D10+DWDO!D53</f>
        <v>13182461</v>
      </c>
      <c r="F33" s="54">
        <f>E33/E36</f>
        <v>0.108793191458064</v>
      </c>
      <c r="G33" s="37">
        <f>Central!E9+North!E9+South!E9+SVI!E9+DWDO!E10+DWDO!E53</f>
        <v>13572172</v>
      </c>
      <c r="H33" s="54">
        <f t="shared" si="0"/>
        <v>0.10532592018567796</v>
      </c>
      <c r="I33" s="37">
        <f>Central!F9+North!F9+South!F9+SVI!F9+DWDO!F10+DWDO!F53</f>
        <v>14046736</v>
      </c>
      <c r="J33" s="54">
        <f>I33/I36</f>
        <v>0.10648458105444125</v>
      </c>
      <c r="K33" s="40">
        <f>'Data Worksheet for FY 1718'!I7</f>
        <v>14504639.4</v>
      </c>
      <c r="L33" s="54">
        <f>K33/K36</f>
        <v>0.11333440480569701</v>
      </c>
    </row>
    <row r="34" spans="1:20" ht="15.75" outlineLevel="1" x14ac:dyDescent="0.25">
      <c r="A34" s="17" t="s">
        <v>120</v>
      </c>
      <c r="B34" s="17" t="s">
        <v>39</v>
      </c>
      <c r="C34" s="3">
        <f>Central!C10+North!C10+South!C10+SVI!C10+DWDO!C11+DWDO!C54</f>
        <v>3355683</v>
      </c>
      <c r="D34" s="54">
        <f>C34/C36</f>
        <v>2.7886834474564692E-2</v>
      </c>
      <c r="E34" s="3">
        <f>Central!D10+North!D10+South!D10+SVI!D10+DWDO!D11+DWDO!D54</f>
        <v>3591802</v>
      </c>
      <c r="F34" s="54">
        <f>E34/E36</f>
        <v>2.9642689833518733E-2</v>
      </c>
      <c r="G34" s="37">
        <f>Central!E10+North!E10+South!E10+SVI!E10+DWDO!E11+DWDO!E54</f>
        <v>5364813</v>
      </c>
      <c r="H34" s="54">
        <f t="shared" si="0"/>
        <v>4.1633267383369997E-2</v>
      </c>
      <c r="I34" s="37">
        <f>Central!F10+North!F10+South!F10+SVI!F10+DWDO!F11+DWDO!F54+20213</f>
        <v>5477105</v>
      </c>
      <c r="J34" s="54">
        <f>I34/I37</f>
        <v>4.1520480723506545E-2</v>
      </c>
      <c r="K34" s="40">
        <f>'Data Worksheet for FY 1718'!I8</f>
        <v>3777232</v>
      </c>
      <c r="L34" s="54">
        <f>K34/K36</f>
        <v>2.9514028493051164E-2</v>
      </c>
      <c r="P34" s="24" t="s">
        <v>123</v>
      </c>
    </row>
    <row r="35" spans="1:20" ht="15.75" hidden="1" outlineLevel="1" x14ac:dyDescent="0.25">
      <c r="A35" s="17" t="s">
        <v>38</v>
      </c>
      <c r="B35" s="17"/>
      <c r="C35" s="3">
        <f>Central!C11+North!C11+South!C11+SVI!C11+DWDO!C12+DWDO!C55</f>
        <v>0</v>
      </c>
      <c r="D35" s="54"/>
      <c r="E35" s="3">
        <f>Central!D11+North!D11+South!D11+SVI!D11+DWDO!D12+DWDO!D55</f>
        <v>0</v>
      </c>
      <c r="F35" s="54"/>
      <c r="G35" s="37">
        <f>Central!E11+North!E11+South!E11+SVI!E11+DWDO!E12+DWDO!E55</f>
        <v>0</v>
      </c>
      <c r="H35" s="54">
        <f t="shared" si="0"/>
        <v>0</v>
      </c>
      <c r="I35" s="37">
        <f>Central!F11+North!F11+South!G11+SVI!G11+DWDO!G12+DWDO!G55</f>
        <v>0</v>
      </c>
      <c r="J35" s="54">
        <f>I35/I36</f>
        <v>0</v>
      </c>
      <c r="K35" s="40" t="e">
        <f>Central!J11+North!J11+South!J11+SVI!J11+DWDO!J12+#REF!</f>
        <v>#REF!</v>
      </c>
      <c r="L35" s="54" t="e">
        <f>K35/K36</f>
        <v>#REF!</v>
      </c>
    </row>
    <row r="36" spans="1:20" ht="16.5" customHeight="1" outlineLevel="1" x14ac:dyDescent="0.25">
      <c r="A36" s="9" t="s">
        <v>12</v>
      </c>
      <c r="B36" s="9"/>
      <c r="C36" s="20">
        <f>Central!C12+North!C12+South!C12+SVI!C12+DWDO!C13+DWDO!C56</f>
        <v>120332159</v>
      </c>
      <c r="D36" s="55">
        <f>SUM(D29:D35)</f>
        <v>1</v>
      </c>
      <c r="E36" s="20">
        <f>Central!D12+North!D12+South!D12+SVI!D12+DWDO!D13+DWDO!D56</f>
        <v>121169908</v>
      </c>
      <c r="F36" s="55">
        <f t="shared" ref="F36:J36" si="1">SUM(F29:F35)</f>
        <v>1</v>
      </c>
      <c r="G36" s="77">
        <f t="shared" si="1"/>
        <v>128858803</v>
      </c>
      <c r="H36" s="55">
        <f t="shared" si="1"/>
        <v>1</v>
      </c>
      <c r="I36" s="77">
        <f t="shared" si="1"/>
        <v>131913333</v>
      </c>
      <c r="J36" s="55">
        <f t="shared" si="1"/>
        <v>1</v>
      </c>
      <c r="K36" s="39">
        <f>'Data Worksheet for FY 1718'!I10</f>
        <v>127980902.40000001</v>
      </c>
      <c r="L36" s="55">
        <f>SUM(L29:L34)</f>
        <v>1</v>
      </c>
      <c r="M36" s="26">
        <f>K36-I36</f>
        <v>-3932430.599999994</v>
      </c>
      <c r="P36" s="17"/>
      <c r="Q36" s="17" t="s">
        <v>143</v>
      </c>
      <c r="R36" s="17" t="s">
        <v>134</v>
      </c>
      <c r="S36" s="17" t="s">
        <v>135</v>
      </c>
      <c r="T36" s="17" t="s">
        <v>144</v>
      </c>
    </row>
    <row r="37" spans="1:20" s="50" customFormat="1" ht="16.5" customHeight="1" x14ac:dyDescent="0.25">
      <c r="A37" s="52"/>
      <c r="B37" s="70" t="s">
        <v>51</v>
      </c>
      <c r="C37" s="71">
        <f>SUM(C29:C35)</f>
        <v>120332159</v>
      </c>
      <c r="D37" s="72"/>
      <c r="E37" s="71">
        <f>SUM(E29:E35)</f>
        <v>121169908</v>
      </c>
      <c r="F37" s="71"/>
      <c r="G37" s="71"/>
      <c r="H37" s="72"/>
      <c r="I37" s="71">
        <f>SUM(I29:I35)</f>
        <v>131913333</v>
      </c>
      <c r="J37" s="53"/>
      <c r="K37" s="71">
        <f>SUM(K29:K34)</f>
        <v>127980902.40000001</v>
      </c>
      <c r="L37" s="53"/>
      <c r="P37" s="17" t="s">
        <v>0</v>
      </c>
      <c r="Q37" s="132">
        <f>F29</f>
        <v>0.57526067445722584</v>
      </c>
      <c r="R37" s="132">
        <f>H29</f>
        <v>0.56862865628202364</v>
      </c>
      <c r="S37" s="132">
        <f>J29</f>
        <v>0.55097278150041129</v>
      </c>
      <c r="T37" s="132">
        <f>L29</f>
        <v>0.56119240318780561</v>
      </c>
    </row>
    <row r="38" spans="1:20" ht="16.5" customHeight="1" x14ac:dyDescent="0.25">
      <c r="A38" s="27"/>
      <c r="B38" s="73"/>
      <c r="C38" s="74"/>
      <c r="D38" s="75"/>
      <c r="E38" s="74"/>
      <c r="F38" s="74"/>
      <c r="G38" s="74"/>
      <c r="H38" s="75"/>
      <c r="I38" s="74">
        <f>I36-I37</f>
        <v>0</v>
      </c>
      <c r="J38" s="29"/>
      <c r="K38" s="74">
        <f>K36-K37</f>
        <v>0</v>
      </c>
      <c r="L38" s="152"/>
      <c r="P38" s="17" t="s">
        <v>4</v>
      </c>
      <c r="Q38" s="132">
        <f t="shared" ref="Q38:Q42" si="2">F30</f>
        <v>1.9589401685441571E-2</v>
      </c>
      <c r="R38" s="132">
        <f t="shared" ref="R38:R42" si="3">H30</f>
        <v>1.8801051566496391E-2</v>
      </c>
      <c r="S38" s="132">
        <f t="shared" ref="S38:S42" si="4">J30</f>
        <v>1.9062424872548705E-2</v>
      </c>
      <c r="T38" s="132">
        <f t="shared" ref="T38:T42" si="5">L30</f>
        <v>2.0703674925798929E-2</v>
      </c>
    </row>
    <row r="39" spans="1:20" ht="26.25" outlineLevel="1" x14ac:dyDescent="0.25">
      <c r="A39" s="43" t="s">
        <v>81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P39" s="17" t="s">
        <v>6</v>
      </c>
      <c r="Q39" s="132">
        <f t="shared" si="2"/>
        <v>8.9226047774171785E-2</v>
      </c>
      <c r="R39" s="132">
        <f t="shared" si="3"/>
        <v>8.3841761280368243E-2</v>
      </c>
      <c r="S39" s="132">
        <f t="shared" si="4"/>
        <v>9.4463589969332365E-2</v>
      </c>
      <c r="T39" s="132">
        <f t="shared" si="5"/>
        <v>9.8423205054694152E-2</v>
      </c>
    </row>
    <row r="40" spans="1:20" ht="18" outlineLevel="1" x14ac:dyDescent="0.25">
      <c r="A40" s="95" t="str">
        <f>A2</f>
        <v>PROPOSED FISCAL YEAR 2017-2018  OPERATING BUDGET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P40" s="17" t="s">
        <v>8</v>
      </c>
      <c r="Q40" s="132">
        <f t="shared" si="2"/>
        <v>0.17748799479157812</v>
      </c>
      <c r="R40" s="132">
        <f t="shared" si="3"/>
        <v>0.18176934330206374</v>
      </c>
      <c r="S40" s="132">
        <f t="shared" si="4"/>
        <v>0.1874961418797598</v>
      </c>
      <c r="T40" s="132">
        <f t="shared" si="5"/>
        <v>0.17683228353295311</v>
      </c>
    </row>
    <row r="41" spans="1:20" s="25" customFormat="1" ht="18" outlineLevel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P41" s="17" t="s">
        <v>32</v>
      </c>
      <c r="Q41" s="132">
        <f t="shared" si="2"/>
        <v>0.108793191458064</v>
      </c>
      <c r="R41" s="132">
        <f t="shared" si="3"/>
        <v>0.10532592018567796</v>
      </c>
      <c r="S41" s="132">
        <f t="shared" si="4"/>
        <v>0.10648458105444125</v>
      </c>
      <c r="T41" s="132">
        <f t="shared" si="5"/>
        <v>0.11333440480569701</v>
      </c>
    </row>
    <row r="42" spans="1:20" ht="15.75" outlineLevel="1" x14ac:dyDescent="0.25">
      <c r="P42" s="17" t="s">
        <v>120</v>
      </c>
      <c r="Q42" s="132">
        <f t="shared" si="2"/>
        <v>2.9642689833518733E-2</v>
      </c>
      <c r="R42" s="132">
        <f t="shared" si="3"/>
        <v>4.1633267383369997E-2</v>
      </c>
      <c r="S42" s="132">
        <f t="shared" si="4"/>
        <v>4.1520480723506545E-2</v>
      </c>
      <c r="T42" s="132">
        <f t="shared" si="5"/>
        <v>2.9514028493051164E-2</v>
      </c>
    </row>
    <row r="43" spans="1:20" outlineLevel="1" x14ac:dyDescent="0.2"/>
    <row r="44" spans="1:20" outlineLevel="1" x14ac:dyDescent="0.2">
      <c r="A44" s="27"/>
      <c r="B44" s="27"/>
      <c r="C44" s="30"/>
      <c r="D44" s="29"/>
      <c r="E44" s="30"/>
      <c r="F44" s="30"/>
      <c r="G44" s="30"/>
      <c r="H44" s="29"/>
      <c r="I44" s="30"/>
      <c r="J44" s="29"/>
      <c r="K44" s="30"/>
      <c r="L44" s="29"/>
    </row>
    <row r="45" spans="1:20" outlineLevel="1" x14ac:dyDescent="0.2">
      <c r="A45" s="27"/>
      <c r="B45" s="27"/>
      <c r="C45" s="30"/>
      <c r="D45" s="29"/>
      <c r="E45" s="30"/>
      <c r="F45" s="30"/>
      <c r="G45" s="30"/>
      <c r="H45" s="29"/>
      <c r="I45" s="30"/>
      <c r="J45" s="29"/>
      <c r="K45" s="30"/>
      <c r="L45" s="29"/>
    </row>
    <row r="46" spans="1:20" outlineLevel="1" x14ac:dyDescent="0.2"/>
    <row r="47" spans="1:20" outlineLevel="1" x14ac:dyDescent="0.2"/>
    <row r="48" spans="1:20" outlineLevel="1" x14ac:dyDescent="0.2"/>
    <row r="49" spans="1:16" outlineLevel="1" x14ac:dyDescent="0.2"/>
    <row r="50" spans="1:16" outlineLevel="1" x14ac:dyDescent="0.2"/>
    <row r="51" spans="1:16" outlineLevel="1" x14ac:dyDescent="0.2"/>
    <row r="52" spans="1:16" outlineLevel="1" x14ac:dyDescent="0.2"/>
    <row r="53" spans="1:16" outlineLevel="1" x14ac:dyDescent="0.2"/>
    <row r="54" spans="1:16" outlineLevel="1" x14ac:dyDescent="0.2"/>
    <row r="55" spans="1:16" outlineLevel="1" x14ac:dyDescent="0.2"/>
    <row r="56" spans="1:16" outlineLevel="1" x14ac:dyDescent="0.2"/>
    <row r="57" spans="1:16" outlineLevel="1" x14ac:dyDescent="0.2"/>
    <row r="58" spans="1:16" x14ac:dyDescent="0.2">
      <c r="A58" s="27"/>
      <c r="B58" s="27"/>
      <c r="C58" s="28"/>
      <c r="D58" s="29"/>
      <c r="E58" s="30"/>
      <c r="F58" s="30"/>
      <c r="G58" s="30"/>
      <c r="H58" s="29"/>
      <c r="I58" s="30"/>
      <c r="J58" s="29"/>
      <c r="K58" s="30"/>
      <c r="L58" s="29"/>
    </row>
    <row r="59" spans="1:16" s="17" customFormat="1" ht="15.75" outlineLevel="1" x14ac:dyDescent="0.25">
      <c r="A59" s="60"/>
      <c r="B59" s="60"/>
      <c r="C59" s="60"/>
      <c r="D59" s="13"/>
      <c r="E59" s="13"/>
    </row>
    <row r="60" spans="1:16" outlineLevel="1" x14ac:dyDescent="0.2"/>
    <row r="61" spans="1:16" s="81" customFormat="1" ht="16.5" outlineLevel="1" thickBot="1" x14ac:dyDescent="0.3">
      <c r="A61" s="170" t="s">
        <v>13</v>
      </c>
      <c r="B61" s="170" t="s">
        <v>3</v>
      </c>
      <c r="C61" s="171" t="s">
        <v>55</v>
      </c>
      <c r="D61" s="171" t="s">
        <v>42</v>
      </c>
      <c r="E61" s="171" t="str">
        <f>E28</f>
        <v>FY 2014-2015</v>
      </c>
      <c r="F61" s="171" t="s">
        <v>42</v>
      </c>
      <c r="G61" s="171" t="str">
        <f>G28</f>
        <v>FY 2015-2016</v>
      </c>
      <c r="H61" s="171" t="s">
        <v>42</v>
      </c>
      <c r="I61" s="171" t="str">
        <f>I28</f>
        <v>FY 2016-2017</v>
      </c>
      <c r="J61" s="171" t="s">
        <v>42</v>
      </c>
      <c r="K61" s="172" t="str">
        <f>K28</f>
        <v>FY 2017-18</v>
      </c>
      <c r="L61" s="171" t="s">
        <v>42</v>
      </c>
      <c r="N61" s="81" t="s">
        <v>70</v>
      </c>
    </row>
    <row r="62" spans="1:16" ht="15.75" outlineLevel="1" x14ac:dyDescent="0.25">
      <c r="A62" s="173" t="s">
        <v>14</v>
      </c>
      <c r="B62" s="174" t="s">
        <v>15</v>
      </c>
      <c r="C62" s="175">
        <f>Central!C15+North!C15+South!C15+SVI!C15+DWDO!C16+DWDO!C59</f>
        <v>17795331</v>
      </c>
      <c r="D62" s="176">
        <f>C62/C76</f>
        <v>0.14788508033002218</v>
      </c>
      <c r="E62" s="175">
        <f>Central!D15+North!D15+South!D15+SVI!D15+DWDO!D16+DWDO!D59</f>
        <v>19320350</v>
      </c>
      <c r="F62" s="176">
        <f>E62/E76</f>
        <v>0.15944841684620245</v>
      </c>
      <c r="G62" s="177">
        <f>Central!E15+North!E15+South!E15+SVI!E15+DWDO!E16+DWDO!E59</f>
        <v>20003943</v>
      </c>
      <c r="H62" s="176">
        <f>G62/G76</f>
        <v>0.15523924275472278</v>
      </c>
      <c r="I62" s="177">
        <v>21662540</v>
      </c>
      <c r="J62" s="176">
        <f>I62/I76</f>
        <v>0.16421797181032488</v>
      </c>
      <c r="K62" s="178">
        <f>'Data Worksheet for FY 1718'!I13</f>
        <v>21176776</v>
      </c>
      <c r="L62" s="179">
        <f>K62/K76</f>
        <v>0.16546825091890702</v>
      </c>
    </row>
    <row r="63" spans="1:16" ht="15.75" outlineLevel="1" x14ac:dyDescent="0.25">
      <c r="A63" s="180" t="s">
        <v>16</v>
      </c>
      <c r="B63" s="11" t="s">
        <v>17</v>
      </c>
      <c r="C63" s="15">
        <f>Central!C16+North!C16+South!C16+SVI!C16+DWDO!C17+DWDO!C60</f>
        <v>1002369</v>
      </c>
      <c r="D63" s="128">
        <f>C63/C76</f>
        <v>8.3300175807532878E-3</v>
      </c>
      <c r="E63" s="15">
        <f>Central!D16+North!D16+South!D16+SVI!D16+DWDO!D17+DWDO!D60</f>
        <v>1124064</v>
      </c>
      <c r="F63" s="128">
        <f>E63/E76</f>
        <v>9.2767587147132274E-3</v>
      </c>
      <c r="G63" s="64">
        <f>Central!E16+North!E16+South!E16+SVI!E16+DWDO!E17+DWDO!E60</f>
        <v>1306004</v>
      </c>
      <c r="H63" s="128">
        <f>G63/G76</f>
        <v>1.0135155453834225E-2</v>
      </c>
      <c r="I63" s="64">
        <v>1345516</v>
      </c>
      <c r="J63" s="128">
        <f>I63/I76</f>
        <v>1.0200000025774498E-2</v>
      </c>
      <c r="K63" s="41">
        <f>'Data Worksheet for FY 1718'!I14</f>
        <v>1323885</v>
      </c>
      <c r="L63" s="181">
        <f>K63/K76</f>
        <v>1.0344394980981865E-2</v>
      </c>
    </row>
    <row r="64" spans="1:16" ht="15.75" outlineLevel="1" x14ac:dyDescent="0.25">
      <c r="A64" s="180" t="s">
        <v>18</v>
      </c>
      <c r="B64" s="11" t="s">
        <v>19</v>
      </c>
      <c r="C64" s="15">
        <f>Central!C17+North!C17+South!C17+SVI!C17+DWDO!C18+DWDO!C61</f>
        <v>22532039</v>
      </c>
      <c r="D64" s="128">
        <f>C64/C76</f>
        <v>0.18724868885631812</v>
      </c>
      <c r="E64" s="15">
        <f>Central!D17+North!D17+South!D17+SVI!D17+DWDO!D18+DWDO!D61</f>
        <v>20923578</v>
      </c>
      <c r="F64" s="128">
        <f>E64/E76</f>
        <v>0.17267965574422983</v>
      </c>
      <c r="G64" s="64">
        <f>Central!E17+North!E17+South!E17+SVI!E17+DWDO!E18+DWDO!E61</f>
        <v>20711807</v>
      </c>
      <c r="H64" s="128">
        <f>G64/G76</f>
        <v>0.16073257331127</v>
      </c>
      <c r="I64" s="64">
        <v>19151044</v>
      </c>
      <c r="J64" s="128">
        <f>I64/I76</f>
        <v>0.1451789865699171</v>
      </c>
      <c r="K64" s="41">
        <f>'Data Worksheet for FY 1718'!I15</f>
        <v>17623943.309999999</v>
      </c>
      <c r="L64" s="181">
        <f>K64/K76</f>
        <v>0.1377076035464356</v>
      </c>
      <c r="M64" s="65"/>
      <c r="N64" s="24" t="s">
        <v>43</v>
      </c>
      <c r="O64" s="26">
        <f>SUM(K62:K64)</f>
        <v>40124604.310000002</v>
      </c>
      <c r="P64" s="65">
        <f>O64/O69</f>
        <v>0.5119259029337041</v>
      </c>
    </row>
    <row r="65" spans="1:16" ht="15.75" outlineLevel="1" x14ac:dyDescent="0.25">
      <c r="A65" s="180" t="s">
        <v>20</v>
      </c>
      <c r="B65" s="11" t="s">
        <v>36</v>
      </c>
      <c r="C65" s="15">
        <f>Central!C18+North!C18+South!C18+SVI!C18+DWDO!C19+DWDO!C62</f>
        <v>15706253</v>
      </c>
      <c r="D65" s="128">
        <f>C65/C76</f>
        <v>0.13052415190190347</v>
      </c>
      <c r="E65" s="15">
        <f>Central!D18+North!D18+South!D18+SVI!D18+DWDO!D19+DWDO!D62</f>
        <v>16428576</v>
      </c>
      <c r="F65" s="128">
        <f>E65/E76</f>
        <v>0.13558296998954558</v>
      </c>
      <c r="G65" s="64">
        <f>Central!E18+North!E18+South!E18+SVI!E18+DWDO!E19+DWDO!E62</f>
        <v>17134879</v>
      </c>
      <c r="H65" s="128">
        <f>G65/G76</f>
        <v>0.13297406619553961</v>
      </c>
      <c r="I65" s="64">
        <v>18020364</v>
      </c>
      <c r="J65" s="128">
        <f>I65/I76</f>
        <v>0.1366076012953141</v>
      </c>
      <c r="K65" s="41">
        <f>'Data Worksheet for FY 1718'!I16</f>
        <v>17431235.119999997</v>
      </c>
      <c r="L65" s="181">
        <f>K65/K76</f>
        <v>0.13620184614799835</v>
      </c>
      <c r="M65" s="65"/>
      <c r="N65" s="24" t="s">
        <v>20</v>
      </c>
      <c r="O65" s="26">
        <f>K65+K67</f>
        <v>17465464.119999997</v>
      </c>
      <c r="P65" s="65">
        <f>O65/O69</f>
        <v>0.22283144328874779</v>
      </c>
    </row>
    <row r="66" spans="1:16" ht="15.75" outlineLevel="1" x14ac:dyDescent="0.25">
      <c r="A66" s="180" t="s">
        <v>21</v>
      </c>
      <c r="B66" s="11" t="s">
        <v>22</v>
      </c>
      <c r="C66" s="15">
        <f>Central!C19+North!C19+South!C19+SVI!C19+DWDO!C20+DWDO!C63</f>
        <v>12908731</v>
      </c>
      <c r="D66" s="128">
        <f>C66/C76</f>
        <v>0.10727581975820778</v>
      </c>
      <c r="E66" s="15">
        <f>Central!D19+North!D19+South!D19+SVI!D19+DWDO!D20+DWDO!D63</f>
        <v>15654471</v>
      </c>
      <c r="F66" s="128">
        <f>E66/E76</f>
        <v>0.12919437885518573</v>
      </c>
      <c r="G66" s="64">
        <f>Central!E19+North!E19+South!E19+SVI!E19+DWDO!E20+DWDO!E63</f>
        <v>17073151</v>
      </c>
      <c r="H66" s="128">
        <f>G66/G76</f>
        <v>0.13249503023864034</v>
      </c>
      <c r="I66" s="64">
        <v>18825694</v>
      </c>
      <c r="J66" s="128">
        <f>I66/I76</f>
        <v>0.14271259448807952</v>
      </c>
      <c r="K66" s="41">
        <f>'Data Worksheet for FY 1718'!I17</f>
        <v>18164104.539999999</v>
      </c>
      <c r="L66" s="181">
        <f>K66/K76</f>
        <v>0.14192824288937927</v>
      </c>
      <c r="M66" s="65"/>
      <c r="N66" s="24" t="s">
        <v>21</v>
      </c>
      <c r="O66" s="26">
        <f>K66</f>
        <v>18164104.539999999</v>
      </c>
      <c r="P66" s="65">
        <f>O66/O69</f>
        <v>0.23174497985776382</v>
      </c>
    </row>
    <row r="67" spans="1:16" ht="15.75" outlineLevel="1" x14ac:dyDescent="0.25">
      <c r="A67" s="180" t="s">
        <v>52</v>
      </c>
      <c r="B67" s="11" t="s">
        <v>54</v>
      </c>
      <c r="C67" s="15">
        <f>Central!C20+North!C20+South!C20+SVI!C20+DWDO!C21+DWDO!C64</f>
        <v>26836</v>
      </c>
      <c r="D67" s="128">
        <f>C67/C76</f>
        <v>2.2301602682953608E-4</v>
      </c>
      <c r="E67" s="15">
        <f>Central!D20+North!D20+South!D20+SVI!D20+DWDO!D21+DWDO!D64</f>
        <v>23700</v>
      </c>
      <c r="F67" s="128">
        <f>E67/E76</f>
        <v>1.9559311706335536E-4</v>
      </c>
      <c r="G67" s="64">
        <f>Central!E20+North!E20+South!E20+SVI!E20+DWDO!E21+DWDO!E64</f>
        <v>41977</v>
      </c>
      <c r="H67" s="128">
        <f>G67/G76</f>
        <v>3.2575966113855645E-4</v>
      </c>
      <c r="I67" s="64">
        <v>60059</v>
      </c>
      <c r="J67" s="128">
        <f>I67/I76</f>
        <v>4.5529135405895628E-4</v>
      </c>
      <c r="K67" s="41">
        <f>'Data Worksheet for FY 1718'!I18</f>
        <v>34229</v>
      </c>
      <c r="L67" s="181">
        <f>K67/K76</f>
        <v>2.6745396753043372E-4</v>
      </c>
      <c r="M67" s="65"/>
      <c r="P67" s="65"/>
    </row>
    <row r="68" spans="1:16" ht="15.75" outlineLevel="1" x14ac:dyDescent="0.25">
      <c r="A68" s="180" t="s">
        <v>53</v>
      </c>
      <c r="B68" s="11" t="s">
        <v>35</v>
      </c>
      <c r="C68" s="15">
        <f>Central!C21+North!C21+South!C21+SVI!C21+DWDO!C22+DWDO!C65</f>
        <v>2009836</v>
      </c>
      <c r="D68" s="128">
        <f>C68/C76</f>
        <v>1.6702401225926644E-2</v>
      </c>
      <c r="E68" s="15">
        <f>Central!D21+North!D21+South!D21+SVI!D21+DWDO!D22+DWDO!D65</f>
        <v>1932953</v>
      </c>
      <c r="F68" s="128">
        <f>E68/E76</f>
        <v>1.5952417823078647E-2</v>
      </c>
      <c r="G68" s="64">
        <f>Central!E21+North!E21+South!E21+SVI!E21+DWDO!E22+DWDO!E65</f>
        <v>1999947</v>
      </c>
      <c r="H68" s="128">
        <f>G68/G76</f>
        <v>1.5520453034163292E-2</v>
      </c>
      <c r="I68" s="64">
        <v>2626284</v>
      </c>
      <c r="J68" s="128">
        <f>I68/I76</f>
        <v>1.9909162631801595E-2</v>
      </c>
      <c r="K68" s="41">
        <f>'Data Worksheet for FY 1718'!I19</f>
        <v>2625538</v>
      </c>
      <c r="L68" s="181">
        <f>K68/K76</f>
        <v>2.05150765433381E-2</v>
      </c>
      <c r="M68" s="66"/>
      <c r="N68" s="24" t="s">
        <v>50</v>
      </c>
      <c r="O68" s="26">
        <f>K68</f>
        <v>2625538</v>
      </c>
      <c r="P68" s="65">
        <f>O68/O69</f>
        <v>3.3497673919784296E-2</v>
      </c>
    </row>
    <row r="69" spans="1:16" ht="15.75" outlineLevel="1" x14ac:dyDescent="0.25">
      <c r="A69" s="180" t="s">
        <v>23</v>
      </c>
      <c r="B69" s="11" t="s">
        <v>31</v>
      </c>
      <c r="C69" s="15">
        <f>Central!C22+North!C22+South!C22+SVI!C22+DWDO!C23+DWDO!C66</f>
        <v>24143221</v>
      </c>
      <c r="D69" s="128">
        <f>C69/C76</f>
        <v>0.20063814362376728</v>
      </c>
      <c r="E69" s="15">
        <f>Central!D22+North!D22+South!D22+SVI!D22+DWDO!D23+DWDO!D66</f>
        <v>23629777</v>
      </c>
      <c r="F69" s="128">
        <f>E69/E76</f>
        <v>0.19501357548278406</v>
      </c>
      <c r="G69" s="64">
        <f>Central!E22+North!E22+South!E22+SVI!E22+DWDO!E23+DWDO!E66</f>
        <v>27749361</v>
      </c>
      <c r="H69" s="128">
        <f>G69/G76</f>
        <v>0.21534703376066594</v>
      </c>
      <c r="I69" s="64">
        <v>27524875</v>
      </c>
      <c r="J69" s="128">
        <f>I69/I76</f>
        <v>0.20865877901819069</v>
      </c>
      <c r="K69" s="41">
        <f>'Data Worksheet for FY 1718'!I20</f>
        <v>27053000</v>
      </c>
      <c r="L69" s="181">
        <f>K69/K76</f>
        <v>0.21138310156886919</v>
      </c>
      <c r="O69" s="26">
        <f>SUM(O64:O68)</f>
        <v>78379710.969999999</v>
      </c>
      <c r="P69" s="24">
        <f>SUM(P64:P68)</f>
        <v>1</v>
      </c>
    </row>
    <row r="70" spans="1:16" ht="15.75" outlineLevel="1" x14ac:dyDescent="0.25">
      <c r="A70" s="180" t="s">
        <v>24</v>
      </c>
      <c r="B70" s="11" t="s">
        <v>47</v>
      </c>
      <c r="C70" s="69">
        <f>Central!C23+North!C23+South!C23+SVI!C23+DWDO!C24+DWDO!C67</f>
        <v>12599992</v>
      </c>
      <c r="D70" s="128">
        <f>C70/C76</f>
        <v>0.10471009665836711</v>
      </c>
      <c r="E70" s="15">
        <f>Central!D23+North!D23+South!D23+SVI!D23+DWDO!D24+DWDO!D67</f>
        <v>12530887</v>
      </c>
      <c r="F70" s="128">
        <f>E70/E76</f>
        <v>0.10341583324466995</v>
      </c>
      <c r="G70" s="64">
        <f>Central!E23+North!E23+South!E23+SVI!E23+DWDO!E24+DWDO!E67</f>
        <v>16850285</v>
      </c>
      <c r="H70" s="128">
        <f>G70/G76</f>
        <v>0.13076549376296784</v>
      </c>
      <c r="I70" s="64">
        <v>16450882</v>
      </c>
      <c r="J70" s="128">
        <f>I70/I76</f>
        <v>0.12470977440923277</v>
      </c>
      <c r="K70" s="41">
        <f>'Data Worksheet for FY 1718'!I21</f>
        <v>15768659</v>
      </c>
      <c r="L70" s="181">
        <f>K70/K76</f>
        <v>0.12321103193737712</v>
      </c>
    </row>
    <row r="71" spans="1:16" ht="15.75" outlineLevel="1" x14ac:dyDescent="0.25">
      <c r="A71" s="180" t="s">
        <v>25</v>
      </c>
      <c r="B71" s="11" t="s">
        <v>26</v>
      </c>
      <c r="C71" s="15">
        <f>Central!C24+North!C24+South!C24+SVI!C24+DWDO!C25+DWDO!C68</f>
        <v>282306</v>
      </c>
      <c r="D71" s="128">
        <f>C71/C76</f>
        <v>2.3460561361655615E-3</v>
      </c>
      <c r="E71" s="15">
        <f>Central!D24+North!D24+South!D24+SVI!D24+DWDO!D25+DWDO!D68</f>
        <v>343100</v>
      </c>
      <c r="F71" s="128">
        <f>E71/E76</f>
        <v>2.8315611166429208E-3</v>
      </c>
      <c r="G71" s="64">
        <f>Central!E24+North!E24+South!E24+SVI!E24+DWDO!E25+DWDO!E68</f>
        <v>326910</v>
      </c>
      <c r="H71" s="128">
        <f>G71/G76</f>
        <v>2.5369628802154867E-3</v>
      </c>
      <c r="I71" s="64">
        <v>348854</v>
      </c>
      <c r="J71" s="128">
        <f>I71/I76</f>
        <v>2.6445696736356436E-3</v>
      </c>
      <c r="K71" s="41">
        <f>'Data Worksheet for FY 1718'!I22</f>
        <v>386096</v>
      </c>
      <c r="L71" s="181">
        <f>K71/K76</f>
        <v>3.0168251204426171E-3</v>
      </c>
    </row>
    <row r="72" spans="1:16" ht="15.75" outlineLevel="1" x14ac:dyDescent="0.25">
      <c r="A72" s="180" t="s">
        <v>27</v>
      </c>
      <c r="B72" s="11" t="s">
        <v>28</v>
      </c>
      <c r="C72" s="15">
        <f>Central!C25+North!C25+South!C25+SVI!C25+DWDO!C26+DWDO!C69</f>
        <v>2014782</v>
      </c>
      <c r="D72" s="128">
        <f>C72/C76</f>
        <v>1.6743504120124694E-2</v>
      </c>
      <c r="E72" s="15">
        <f>Central!D25+North!D25+South!D25+SVI!D25+DWDO!D26+DWDO!D69</f>
        <v>1542388</v>
      </c>
      <c r="F72" s="128">
        <f>E72/E76</f>
        <v>1.2729134035490065E-2</v>
      </c>
      <c r="G72" s="64">
        <f>Central!E25+North!E25+South!E25+SVI!E25+DWDO!E26+DWDO!E69</f>
        <v>1827196</v>
      </c>
      <c r="H72" s="128">
        <f>G72/G76</f>
        <v>1.4179830616616856E-2</v>
      </c>
      <c r="I72" s="64">
        <v>1919950</v>
      </c>
      <c r="J72" s="128">
        <f>I72/I76</f>
        <v>1.455463186575689E-2</v>
      </c>
      <c r="K72" s="41">
        <f>'Data Worksheet for FY 1718'!I23</f>
        <v>1395064</v>
      </c>
      <c r="L72" s="181">
        <f>K72/K76</f>
        <v>1.0900563900753075E-2</v>
      </c>
    </row>
    <row r="73" spans="1:16" ht="15.75" outlineLevel="1" x14ac:dyDescent="0.25">
      <c r="A73" s="180" t="s">
        <v>29</v>
      </c>
      <c r="B73" s="11" t="s">
        <v>30</v>
      </c>
      <c r="C73" s="15">
        <f>Central!C26+North!C26+South!C26+SVI!C26+DWDO!C27+DWDO!C70</f>
        <v>294919</v>
      </c>
      <c r="D73" s="128">
        <f>C73/C76</f>
        <v>2.4508743336018762E-3</v>
      </c>
      <c r="E73" s="15">
        <f>Central!D26+North!D26+South!D26+SVI!D26+DWDO!D27+DWDO!D70</f>
        <v>271995</v>
      </c>
      <c r="F73" s="128">
        <f>E73/E76</f>
        <v>2.2447405010821665E-3</v>
      </c>
      <c r="G73" s="64">
        <f>Central!E26+North!E26+South!E26+SVI!E26+DWDO!E27+DWDO!E70</f>
        <v>65106</v>
      </c>
      <c r="H73" s="128">
        <f>G73/G76</f>
        <v>5.0525069676458196E-4</v>
      </c>
      <c r="I73" s="64">
        <v>330991</v>
      </c>
      <c r="J73" s="128">
        <f>I73/I76</f>
        <v>2.5091550070984862E-3</v>
      </c>
      <c r="K73" s="41">
        <f>'Data Worksheet for FY 1718'!I24</f>
        <v>288863</v>
      </c>
      <c r="L73" s="181">
        <f>K73/K76</f>
        <v>2.2570789512619031E-3</v>
      </c>
    </row>
    <row r="74" spans="1:16" ht="15.75" outlineLevel="1" x14ac:dyDescent="0.25">
      <c r="A74" s="180" t="s">
        <v>37</v>
      </c>
      <c r="B74" s="11" t="s">
        <v>46</v>
      </c>
      <c r="C74" s="15">
        <v>356246</v>
      </c>
      <c r="D74" s="128">
        <f>C74/C77</f>
        <v>3.0970225964087662E-3</v>
      </c>
      <c r="E74" s="15">
        <v>35326</v>
      </c>
      <c r="F74" s="128">
        <f>E74/E77</f>
        <v>3.0273682107587142E-4</v>
      </c>
      <c r="G74" s="64">
        <f>Central!E27+North!E27+South!E27+SVI!E27+DWDO!E28+DWDO!E71</f>
        <v>522162</v>
      </c>
      <c r="H74" s="128">
        <f>G74/G77</f>
        <v>4.0816612084871116E-3</v>
      </c>
      <c r="I74" s="64">
        <v>0</v>
      </c>
      <c r="J74" s="128">
        <v>0</v>
      </c>
      <c r="K74" s="41">
        <f>'Data Worksheet for FY 1718'!I25</f>
        <v>21922</v>
      </c>
      <c r="L74" s="181">
        <f>K74/K77</f>
        <v>1.7129118221981851E-4</v>
      </c>
    </row>
    <row r="75" spans="1:16" ht="15.75" outlineLevel="1" x14ac:dyDescent="0.25">
      <c r="A75" s="180" t="s">
        <v>77</v>
      </c>
      <c r="B75" s="11" t="s">
        <v>76</v>
      </c>
      <c r="C75" s="15">
        <f>Central!C27+North!C27+South!C27+SVI!C27+DWDO!C28+DWDO!C71</f>
        <v>3355683</v>
      </c>
      <c r="D75" s="128">
        <f>C75/C77</f>
        <v>2.9172611278118935E-2</v>
      </c>
      <c r="E75" s="15">
        <f>Central!D27+North!D27+South!D27+SVI!D27+DWDO!D28+DWDO!D71</f>
        <v>2927647</v>
      </c>
      <c r="F75" s="128">
        <f>E75/E77</f>
        <v>2.5089354753221757E-2</v>
      </c>
      <c r="G75" s="64">
        <f>Central!E28+North!E28+South!E28+SVI!E28+DWDO!E29+DWDO!E73</f>
        <v>2316067</v>
      </c>
      <c r="H75" s="128">
        <f>G75/G77</f>
        <v>1.8104344686432794E-2</v>
      </c>
      <c r="I75" s="64">
        <v>3646280</v>
      </c>
      <c r="J75" s="128">
        <f>I75/I77</f>
        <v>2.7641481850814883E-2</v>
      </c>
      <c r="K75" s="41">
        <f>'Data Worksheet for FY 1718'!I26</f>
        <v>4687587</v>
      </c>
      <c r="L75" s="181">
        <f>K75/K77</f>
        <v>3.6627238344505632E-2</v>
      </c>
    </row>
    <row r="76" spans="1:16" ht="16.5" outlineLevel="1" thickBot="1" x14ac:dyDescent="0.3">
      <c r="A76" s="182" t="s">
        <v>12</v>
      </c>
      <c r="B76" s="183"/>
      <c r="C76" s="184">
        <f>Central!C29+North!C29+South!C29+SVI!C29+DWDO!C30+DWDO!C74</f>
        <v>120332159</v>
      </c>
      <c r="D76" s="185">
        <f>SUM(D62:D75)</f>
        <v>0.9573474844265154</v>
      </c>
      <c r="E76" s="184">
        <f>Central!D29+North!D29+South!D29+SVI!D29+DWDO!D30+DWDO!D74</f>
        <v>121169908</v>
      </c>
      <c r="F76" s="185">
        <f>SUM(F62:F75)</f>
        <v>0.9639571270449856</v>
      </c>
      <c r="G76" s="184">
        <f>Central!E29+North!E29+South!E29+SVI!E29+DWDO!E30+DWDO!E74</f>
        <v>128858803</v>
      </c>
      <c r="H76" s="185">
        <f>SUM(H62:H75)</f>
        <v>0.99294285826145945</v>
      </c>
      <c r="I76" s="184">
        <f>SUM(I62:I75)</f>
        <v>131913333</v>
      </c>
      <c r="J76" s="185">
        <f>SUM(J62:J75)</f>
        <v>1.0000000000000002</v>
      </c>
      <c r="K76" s="186">
        <f>SUM(K62:K75)</f>
        <v>127980901.97</v>
      </c>
      <c r="L76" s="187">
        <f>SUM(L62:L75)</f>
        <v>1.0000000000000002</v>
      </c>
    </row>
    <row r="77" spans="1:16" hidden="1" outlineLevel="1" x14ac:dyDescent="0.2">
      <c r="C77" s="51">
        <f>SUM(C62:C75)</f>
        <v>115028544</v>
      </c>
      <c r="D77" s="50"/>
      <c r="E77" s="51">
        <f>SUM(E62:E75)</f>
        <v>116688812</v>
      </c>
      <c r="F77" s="51"/>
      <c r="G77" s="51">
        <f>SUM(G62:G75)</f>
        <v>127928795</v>
      </c>
      <c r="H77" s="51"/>
      <c r="I77" s="51">
        <f>SUM(I62:I75)</f>
        <v>131913333</v>
      </c>
      <c r="J77" s="50"/>
      <c r="K77" s="51">
        <f>SUM(K62:K75)</f>
        <v>127980901.97</v>
      </c>
      <c r="L77" s="50"/>
    </row>
    <row r="78" spans="1:16" hidden="1" outlineLevel="1" x14ac:dyDescent="0.2">
      <c r="C78" s="51">
        <f>C76-C77</f>
        <v>5303615</v>
      </c>
      <c r="D78" s="50"/>
      <c r="E78" s="51">
        <f>E76-E77</f>
        <v>4481096</v>
      </c>
      <c r="F78" s="51"/>
      <c r="G78" s="51">
        <f>G76-G77</f>
        <v>930008</v>
      </c>
      <c r="H78" s="51"/>
      <c r="I78" s="51">
        <f>I76-I77</f>
        <v>0</v>
      </c>
      <c r="J78" s="50"/>
      <c r="K78" s="51">
        <f>K76-K77</f>
        <v>0</v>
      </c>
      <c r="L78" s="50"/>
    </row>
    <row r="79" spans="1:16" hidden="1" outlineLevel="1" x14ac:dyDescent="0.2">
      <c r="C79" s="51">
        <f>C36-C77</f>
        <v>5303615</v>
      </c>
      <c r="D79" s="50"/>
      <c r="E79" s="51">
        <f>E36-E77</f>
        <v>4481096</v>
      </c>
      <c r="F79" s="51"/>
      <c r="G79" s="51">
        <f>G36-G77</f>
        <v>930008</v>
      </c>
      <c r="H79" s="51"/>
      <c r="I79" s="51">
        <f>I36-I77</f>
        <v>0</v>
      </c>
      <c r="J79" s="50"/>
      <c r="K79" s="51">
        <f>K36-K77</f>
        <v>0.43000000715255737</v>
      </c>
      <c r="L79" s="50"/>
    </row>
    <row r="80" spans="1:16" hidden="1" x14ac:dyDescent="0.2"/>
    <row r="81" spans="1:13" hidden="1" x14ac:dyDescent="0.2">
      <c r="E81" s="26"/>
      <c r="F81" s="26"/>
      <c r="G81" s="26"/>
      <c r="H81" s="26"/>
    </row>
    <row r="83" spans="1:13" x14ac:dyDescent="0.2">
      <c r="A83" s="24" t="s">
        <v>72</v>
      </c>
    </row>
    <row r="84" spans="1:13" x14ac:dyDescent="0.2">
      <c r="A84" s="24" t="s">
        <v>43</v>
      </c>
      <c r="B84" s="26">
        <f>SUM(K62:K64)</f>
        <v>40124604.310000002</v>
      </c>
      <c r="C84" s="24">
        <v>39.200000000000003</v>
      </c>
      <c r="I84" s="24">
        <f>Central!F29+North!F29+South!F29+SVI!F29+DWDO!F30+DWDO!F56</f>
        <v>131893120</v>
      </c>
      <c r="M84" s="26"/>
    </row>
    <row r="85" spans="1:13" x14ac:dyDescent="0.2">
      <c r="A85" s="24" t="s">
        <v>21</v>
      </c>
      <c r="B85" s="26">
        <f>K66</f>
        <v>18164104.539999999</v>
      </c>
      <c r="C85" s="24">
        <v>14.1</v>
      </c>
    </row>
    <row r="86" spans="1:13" x14ac:dyDescent="0.2">
      <c r="A86" s="24" t="s">
        <v>73</v>
      </c>
      <c r="B86" s="26">
        <f>K65+K68+K67</f>
        <v>20091002.119999997</v>
      </c>
      <c r="C86" s="24">
        <v>17.5</v>
      </c>
    </row>
    <row r="87" spans="1:13" x14ac:dyDescent="0.2">
      <c r="A87" s="24" t="s">
        <v>23</v>
      </c>
      <c r="B87" s="26">
        <f>K69</f>
        <v>27053000</v>
      </c>
      <c r="C87" s="24">
        <v>23.3</v>
      </c>
    </row>
    <row r="88" spans="1:13" x14ac:dyDescent="0.2">
      <c r="A88" s="24" t="s">
        <v>74</v>
      </c>
      <c r="B88" s="26">
        <f>SUM(K70:K73)</f>
        <v>17838682</v>
      </c>
      <c r="C88" s="24">
        <v>16.2</v>
      </c>
      <c r="M88" s="26">
        <f>M84-M86</f>
        <v>0</v>
      </c>
    </row>
    <row r="89" spans="1:13" x14ac:dyDescent="0.2">
      <c r="A89" s="24" t="s">
        <v>75</v>
      </c>
      <c r="B89" s="26">
        <f>K74</f>
        <v>21922</v>
      </c>
      <c r="C89" s="24">
        <v>6.5</v>
      </c>
    </row>
    <row r="90" spans="1:13" x14ac:dyDescent="0.2">
      <c r="B90" s="26">
        <f>SUM(B84:B89)</f>
        <v>123293314.97</v>
      </c>
      <c r="C90" s="24">
        <f>SUM(C84:C89)</f>
        <v>116.80000000000001</v>
      </c>
    </row>
    <row r="91" spans="1:13" x14ac:dyDescent="0.2">
      <c r="A91" s="24" t="s">
        <v>82</v>
      </c>
      <c r="B91" s="26">
        <f>K75</f>
        <v>4687587</v>
      </c>
    </row>
    <row r="92" spans="1:13" x14ac:dyDescent="0.2">
      <c r="B92" s="26">
        <f>SUM(B90:B91)</f>
        <v>127980901.97</v>
      </c>
    </row>
  </sheetData>
  <printOptions horizontalCentered="1"/>
  <pageMargins left="0.25" right="0.25" top="0.75" bottom="0.75" header="0.3" footer="0.3"/>
  <pageSetup scale="61" orientation="portrait" r:id="rId1"/>
  <rowBreaks count="1" manualBreakCount="1">
    <brk id="38" max="11" man="1"/>
  </rowBreaks>
  <ignoredErrors>
    <ignoredError sqref="K29:K35 K38 K62:K7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1"/>
  <sheetViews>
    <sheetView workbookViewId="0">
      <selection activeCell="H61" sqref="H61"/>
    </sheetView>
  </sheetViews>
  <sheetFormatPr defaultRowHeight="15" x14ac:dyDescent="0.25"/>
  <sheetData>
    <row r="4" spans="2:13" x14ac:dyDescent="0.25">
      <c r="D4" t="s">
        <v>105</v>
      </c>
    </row>
    <row r="8" spans="2:13" x14ac:dyDescent="0.25">
      <c r="B8" t="s">
        <v>115</v>
      </c>
      <c r="D8" t="s">
        <v>106</v>
      </c>
      <c r="E8" t="s">
        <v>107</v>
      </c>
      <c r="F8" t="s">
        <v>108</v>
      </c>
      <c r="G8" t="s">
        <v>103</v>
      </c>
    </row>
    <row r="10" spans="2:13" x14ac:dyDescent="0.25">
      <c r="D10">
        <v>149</v>
      </c>
      <c r="E10" t="s">
        <v>109</v>
      </c>
      <c r="F10" t="s">
        <v>110</v>
      </c>
      <c r="G10" s="130">
        <v>7000</v>
      </c>
    </row>
    <row r="11" spans="2:13" x14ac:dyDescent="0.25">
      <c r="D11">
        <v>101</v>
      </c>
      <c r="E11" t="s">
        <v>109</v>
      </c>
      <c r="F11" t="s">
        <v>111</v>
      </c>
      <c r="G11" s="130">
        <v>154961</v>
      </c>
    </row>
    <row r="12" spans="2:13" x14ac:dyDescent="0.25">
      <c r="D12">
        <v>149</v>
      </c>
      <c r="E12" t="s">
        <v>109</v>
      </c>
      <c r="F12" t="s">
        <v>112</v>
      </c>
      <c r="G12" s="130">
        <v>20000</v>
      </c>
    </row>
    <row r="13" spans="2:13" x14ac:dyDescent="0.25">
      <c r="D13">
        <v>101</v>
      </c>
      <c r="E13" t="s">
        <v>109</v>
      </c>
      <c r="F13" t="s">
        <v>113</v>
      </c>
      <c r="G13" s="130">
        <v>135011</v>
      </c>
    </row>
    <row r="14" spans="2:13" x14ac:dyDescent="0.25">
      <c r="G14" s="130"/>
    </row>
    <row r="15" spans="2:13" x14ac:dyDescent="0.25">
      <c r="D15" t="s">
        <v>12</v>
      </c>
      <c r="G15" s="130">
        <f>SUM(G10:G14)</f>
        <v>316972</v>
      </c>
      <c r="H15" s="131" t="s">
        <v>114</v>
      </c>
      <c r="I15" s="131"/>
      <c r="J15" s="131"/>
      <c r="K15" s="131"/>
      <c r="L15" s="131"/>
      <c r="M15" s="131"/>
    </row>
    <row r="19" spans="2:13" x14ac:dyDescent="0.25">
      <c r="B19" t="s">
        <v>116</v>
      </c>
      <c r="D19" t="s">
        <v>106</v>
      </c>
      <c r="E19" t="s">
        <v>107</v>
      </c>
      <c r="F19" t="s">
        <v>108</v>
      </c>
      <c r="G19" t="s">
        <v>103</v>
      </c>
    </row>
    <row r="21" spans="2:13" x14ac:dyDescent="0.25">
      <c r="D21" t="s">
        <v>117</v>
      </c>
      <c r="E21" t="s">
        <v>118</v>
      </c>
      <c r="F21" t="s">
        <v>119</v>
      </c>
      <c r="G21">
        <v>296693</v>
      </c>
      <c r="H21" s="131" t="s">
        <v>114</v>
      </c>
      <c r="I21" s="131"/>
      <c r="J21" s="131"/>
      <c r="K21" s="131"/>
      <c r="L21" s="131"/>
      <c r="M21" s="1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0"/>
  <sheetViews>
    <sheetView topLeftCell="A21" zoomScale="90" zoomScaleNormal="90" workbookViewId="0">
      <selection activeCell="D55" sqref="D55"/>
    </sheetView>
  </sheetViews>
  <sheetFormatPr defaultColWidth="9.140625" defaultRowHeight="15.75" x14ac:dyDescent="0.25"/>
  <cols>
    <col min="1" max="1" width="40.7109375" style="1" customWidth="1"/>
    <col min="2" max="2" width="20.7109375" style="1" customWidth="1"/>
    <col min="3" max="3" width="25.7109375" style="14" hidden="1" customWidth="1"/>
    <col min="4" max="4" width="21.5703125" style="1" customWidth="1"/>
    <col min="5" max="5" width="23.140625" style="17" customWidth="1"/>
    <col min="6" max="6" width="23.42578125" style="3" customWidth="1"/>
    <col min="7" max="7" width="25" style="3" customWidth="1"/>
    <col min="8" max="8" width="18.42578125" style="3" customWidth="1"/>
    <col min="9" max="10" width="12.7109375" style="1" bestFit="1" customWidth="1"/>
    <col min="11" max="11" width="12" style="1" bestFit="1" customWidth="1"/>
    <col min="12" max="16384" width="9.140625" style="1"/>
  </cols>
  <sheetData>
    <row r="1" spans="1:11" s="24" customFormat="1" ht="40.5" customHeight="1" x14ac:dyDescent="0.2">
      <c r="A1" s="43" t="s">
        <v>90</v>
      </c>
      <c r="B1" s="44"/>
      <c r="C1" s="44"/>
      <c r="D1" s="44"/>
      <c r="E1" s="44"/>
      <c r="F1" s="113"/>
      <c r="G1" s="115"/>
      <c r="H1" s="115"/>
    </row>
    <row r="2" spans="1:11" s="24" customFormat="1" ht="18" x14ac:dyDescent="0.2">
      <c r="A2" s="114" t="str">
        <f>Summary!A2</f>
        <v>PROPOSED FISCAL YEAR 2017-2018  OPERATING BUDGET</v>
      </c>
      <c r="B2" s="114"/>
      <c r="C2" s="114"/>
      <c r="D2" s="114"/>
      <c r="E2" s="114"/>
      <c r="F2" s="114"/>
      <c r="G2" s="114"/>
      <c r="H2" s="114"/>
    </row>
    <row r="3" spans="1:11" s="24" customFormat="1" ht="18" x14ac:dyDescent="0.2">
      <c r="A3" s="34"/>
      <c r="B3" s="34"/>
      <c r="C3" s="34"/>
      <c r="D3" s="34"/>
      <c r="E3" s="34"/>
      <c r="F3" s="34"/>
      <c r="G3" s="34"/>
      <c r="H3" s="34"/>
    </row>
    <row r="4" spans="1:11" s="10" customFormat="1" x14ac:dyDescent="0.25">
      <c r="A4" s="9" t="s">
        <v>1</v>
      </c>
      <c r="B4" s="9" t="s">
        <v>3</v>
      </c>
      <c r="C4" s="47" t="s">
        <v>41</v>
      </c>
      <c r="D4" s="153" t="s">
        <v>80</v>
      </c>
      <c r="E4" s="123" t="s">
        <v>93</v>
      </c>
      <c r="F4" s="76" t="s">
        <v>124</v>
      </c>
      <c r="G4" s="158" t="s">
        <v>145</v>
      </c>
      <c r="H4" s="159" t="s">
        <v>138</v>
      </c>
      <c r="I4" s="161" t="s">
        <v>139</v>
      </c>
    </row>
    <row r="5" spans="1:11" x14ac:dyDescent="0.25">
      <c r="A5" s="145" t="s">
        <v>0</v>
      </c>
      <c r="B5" s="17" t="s">
        <v>2</v>
      </c>
      <c r="C5" s="3">
        <v>26397538</v>
      </c>
      <c r="D5" s="157">
        <v>26119194</v>
      </c>
      <c r="E5" s="141">
        <v>29000862</v>
      </c>
      <c r="F5" s="141">
        <v>29080611</v>
      </c>
      <c r="G5" s="146">
        <f>'Data Worksheet for FY 1718'!D3-66178</f>
        <v>28165398</v>
      </c>
      <c r="H5" s="160">
        <f>G5-F5</f>
        <v>-915213</v>
      </c>
      <c r="I5" s="56">
        <f>H5/F5</f>
        <v>-3.147158771870371E-2</v>
      </c>
    </row>
    <row r="6" spans="1:11" x14ac:dyDescent="0.25">
      <c r="A6" s="57" t="s">
        <v>4</v>
      </c>
      <c r="B6" s="17" t="s">
        <v>5</v>
      </c>
      <c r="C6" s="3">
        <v>957363</v>
      </c>
      <c r="D6" s="142">
        <v>879054</v>
      </c>
      <c r="E6" s="142">
        <v>915511</v>
      </c>
      <c r="F6" s="142">
        <v>864975</v>
      </c>
      <c r="G6" s="147">
        <f>'Data Worksheet for FY 1718'!D4</f>
        <v>1007763</v>
      </c>
      <c r="H6" s="160">
        <f t="shared" ref="H6:H11" si="0">G6-F6</f>
        <v>142788</v>
      </c>
      <c r="I6" s="56">
        <f t="shared" ref="I6:I12" si="1">H6/F6</f>
        <v>0.16507760339894217</v>
      </c>
    </row>
    <row r="7" spans="1:11" x14ac:dyDescent="0.25">
      <c r="A7" s="57" t="s">
        <v>6</v>
      </c>
      <c r="B7" s="17" t="s">
        <v>7</v>
      </c>
      <c r="C7" s="3">
        <v>4803776</v>
      </c>
      <c r="D7" s="142">
        <v>4195595</v>
      </c>
      <c r="E7" s="142">
        <v>4467213</v>
      </c>
      <c r="F7" s="142">
        <v>4966229</v>
      </c>
      <c r="G7" s="147">
        <f>'Data Worksheet for FY 1718'!D5</f>
        <v>5057440</v>
      </c>
      <c r="H7" s="160">
        <f t="shared" si="0"/>
        <v>91211</v>
      </c>
      <c r="I7" s="56">
        <f t="shared" si="1"/>
        <v>1.8366249321165012E-2</v>
      </c>
    </row>
    <row r="8" spans="1:11" x14ac:dyDescent="0.25">
      <c r="A8" s="57" t="s">
        <v>8</v>
      </c>
      <c r="B8" s="17" t="s">
        <v>9</v>
      </c>
      <c r="C8" s="3">
        <v>3502585</v>
      </c>
      <c r="D8" s="142">
        <v>5227316</v>
      </c>
      <c r="E8" s="142">
        <v>6031521</v>
      </c>
      <c r="F8" s="142">
        <v>5434399</v>
      </c>
      <c r="G8" s="147">
        <f>'Data Worksheet for FY 1718'!D6</f>
        <v>4992277</v>
      </c>
      <c r="H8" s="160">
        <f t="shared" si="0"/>
        <v>-442122</v>
      </c>
      <c r="I8" s="56">
        <f t="shared" si="1"/>
        <v>-8.1356190445346394E-2</v>
      </c>
    </row>
    <row r="9" spans="1:11" x14ac:dyDescent="0.25">
      <c r="A9" s="57" t="s">
        <v>32</v>
      </c>
      <c r="B9" s="17" t="s">
        <v>11</v>
      </c>
      <c r="C9" s="3">
        <v>4963864</v>
      </c>
      <c r="D9" s="142">
        <v>5205103</v>
      </c>
      <c r="E9" s="142">
        <v>5540563</v>
      </c>
      <c r="F9" s="142">
        <v>5729981</v>
      </c>
      <c r="G9" s="147">
        <f>'Data Worksheet for FY 1718'!D7</f>
        <v>6106673</v>
      </c>
      <c r="H9" s="160">
        <f t="shared" si="0"/>
        <v>376692</v>
      </c>
      <c r="I9" s="56">
        <f t="shared" si="1"/>
        <v>6.5740532123928511E-2</v>
      </c>
    </row>
    <row r="10" spans="1:11" x14ac:dyDescent="0.25">
      <c r="A10" s="57" t="s">
        <v>120</v>
      </c>
      <c r="B10" s="17" t="s">
        <v>39</v>
      </c>
      <c r="C10" s="3">
        <v>367115</v>
      </c>
      <c r="D10" s="142">
        <v>671313</v>
      </c>
      <c r="E10" s="142">
        <v>1034784</v>
      </c>
      <c r="F10" s="142">
        <v>3427744</v>
      </c>
      <c r="G10" s="147">
        <f>'Data Worksheet for FY 1718'!D8</f>
        <v>3265095</v>
      </c>
      <c r="H10" s="160">
        <f t="shared" si="0"/>
        <v>-162649</v>
      </c>
      <c r="I10" s="56">
        <f t="shared" si="1"/>
        <v>-4.7450743112671188E-2</v>
      </c>
    </row>
    <row r="11" spans="1:11" hidden="1" x14ac:dyDescent="0.25">
      <c r="A11" s="17" t="s">
        <v>38</v>
      </c>
      <c r="B11" s="17"/>
      <c r="C11" s="3">
        <v>0</v>
      </c>
      <c r="D11" s="3"/>
      <c r="E11" s="37"/>
      <c r="F11" s="37"/>
      <c r="G11" s="40"/>
      <c r="H11" s="160">
        <f t="shared" si="0"/>
        <v>0</v>
      </c>
      <c r="I11" s="56" t="e">
        <f t="shared" si="1"/>
        <v>#DIV/0!</v>
      </c>
      <c r="J11" s="17"/>
    </row>
    <row r="12" spans="1:11" s="10" customFormat="1" x14ac:dyDescent="0.25">
      <c r="A12" s="9" t="s">
        <v>12</v>
      </c>
      <c r="B12" s="9"/>
      <c r="C12" s="20">
        <f>SUM(C5:C11)</f>
        <v>40992241</v>
      </c>
      <c r="D12" s="20">
        <v>42297575</v>
      </c>
      <c r="E12" s="77">
        <v>46990454</v>
      </c>
      <c r="F12" s="77">
        <f>SUM(F5:F10)</f>
        <v>49503939</v>
      </c>
      <c r="G12" s="39">
        <f>SUM(G5:G11)</f>
        <v>48594646</v>
      </c>
      <c r="H12" s="39">
        <f>SUM(H5:H11)</f>
        <v>-909293</v>
      </c>
      <c r="I12" s="56">
        <f t="shared" si="1"/>
        <v>-1.8368093900568195E-2</v>
      </c>
      <c r="J12" s="5"/>
    </row>
    <row r="13" spans="1:11" x14ac:dyDescent="0.25">
      <c r="A13" s="17"/>
      <c r="B13" s="17"/>
      <c r="C13" s="17"/>
      <c r="D13" s="4"/>
      <c r="E13" s="124"/>
      <c r="F13" s="37"/>
      <c r="G13" s="122">
        <f>I12-G12</f>
        <v>-48594646.018368095</v>
      </c>
      <c r="H13" s="122"/>
      <c r="I13" s="5"/>
      <c r="J13" s="5"/>
    </row>
    <row r="14" spans="1:11" s="10" customFormat="1" x14ac:dyDescent="0.25">
      <c r="A14" s="9" t="s">
        <v>13</v>
      </c>
      <c r="B14" s="9"/>
      <c r="C14" s="47" t="s">
        <v>41</v>
      </c>
      <c r="D14" s="153" t="s">
        <v>80</v>
      </c>
      <c r="E14" s="123" t="s">
        <v>93</v>
      </c>
      <c r="F14" s="76" t="s">
        <v>124</v>
      </c>
      <c r="G14" s="158" t="str">
        <f>G4</f>
        <v>FY 2017-2018 (Proposed)</v>
      </c>
      <c r="H14" s="159"/>
      <c r="J14" s="81"/>
      <c r="K14" s="81"/>
    </row>
    <row r="15" spans="1:11" x14ac:dyDescent="0.25">
      <c r="A15" s="57" t="s">
        <v>14</v>
      </c>
      <c r="B15" s="17" t="s">
        <v>15</v>
      </c>
      <c r="C15" s="61">
        <v>8123025</v>
      </c>
      <c r="D15" s="137">
        <v>8815180</v>
      </c>
      <c r="E15" s="64">
        <v>8635114</v>
      </c>
      <c r="F15" s="63">
        <v>9959933</v>
      </c>
      <c r="G15" s="148">
        <f>'Data Worksheet for FY 1718'!D13</f>
        <v>10045794</v>
      </c>
      <c r="H15" s="160">
        <f t="shared" ref="H15:H28" si="2">G15-F15</f>
        <v>85861</v>
      </c>
      <c r="I15" s="56">
        <f t="shared" ref="I15:I29" si="3">H15/F15</f>
        <v>8.620640319568414E-3</v>
      </c>
      <c r="J15" s="24"/>
      <c r="K15" s="24"/>
    </row>
    <row r="16" spans="1:11" x14ac:dyDescent="0.25">
      <c r="A16" s="57" t="s">
        <v>16</v>
      </c>
      <c r="B16" s="17" t="s">
        <v>17</v>
      </c>
      <c r="C16" s="61">
        <v>227345</v>
      </c>
      <c r="D16" s="138">
        <v>249400</v>
      </c>
      <c r="E16" s="64">
        <v>476064</v>
      </c>
      <c r="F16" s="63">
        <v>383277</v>
      </c>
      <c r="G16" s="149">
        <f>'Data Worksheet for FY 1718'!D14</f>
        <v>457083</v>
      </c>
      <c r="H16" s="160">
        <f t="shared" si="2"/>
        <v>73806</v>
      </c>
      <c r="I16" s="56">
        <f t="shared" si="3"/>
        <v>0.19256569008836952</v>
      </c>
      <c r="J16" s="24"/>
      <c r="K16" s="24"/>
    </row>
    <row r="17" spans="1:11" x14ac:dyDescent="0.25">
      <c r="A17" s="57" t="s">
        <v>18</v>
      </c>
      <c r="B17" s="17" t="s">
        <v>19</v>
      </c>
      <c r="C17" s="61">
        <v>8099208</v>
      </c>
      <c r="D17" s="138">
        <v>7978846</v>
      </c>
      <c r="E17" s="64">
        <v>8152063</v>
      </c>
      <c r="F17" s="63">
        <v>7499934</v>
      </c>
      <c r="G17" s="149">
        <f>'Data Worksheet for FY 1718'!D15-66178</f>
        <v>7199876</v>
      </c>
      <c r="H17" s="160">
        <f t="shared" si="2"/>
        <v>-300058</v>
      </c>
      <c r="I17" s="56">
        <f t="shared" si="3"/>
        <v>-4.0008085404484896E-2</v>
      </c>
      <c r="J17" s="24"/>
      <c r="K17" s="26"/>
    </row>
    <row r="18" spans="1:11" x14ac:dyDescent="0.25">
      <c r="A18" s="57" t="s">
        <v>20</v>
      </c>
      <c r="B18" s="17" t="s">
        <v>36</v>
      </c>
      <c r="C18" s="61">
        <v>5829983</v>
      </c>
      <c r="D18" s="138">
        <v>6015106</v>
      </c>
      <c r="E18" s="64">
        <v>6709380</v>
      </c>
      <c r="F18" s="63">
        <v>7066994</v>
      </c>
      <c r="G18" s="149">
        <f>'Data Worksheet for FY 1718'!D16</f>
        <v>6630700</v>
      </c>
      <c r="H18" s="160">
        <f t="shared" si="2"/>
        <v>-436294</v>
      </c>
      <c r="I18" s="56">
        <f t="shared" si="3"/>
        <v>-6.1736857283308855E-2</v>
      </c>
      <c r="J18" s="24"/>
      <c r="K18" s="26"/>
    </row>
    <row r="19" spans="1:11" x14ac:dyDescent="0.25">
      <c r="A19" s="57" t="s">
        <v>21</v>
      </c>
      <c r="B19" s="17" t="s">
        <v>22</v>
      </c>
      <c r="C19" s="61">
        <v>3262684</v>
      </c>
      <c r="D19" s="138">
        <v>4088232</v>
      </c>
      <c r="E19" s="64">
        <v>5302935</v>
      </c>
      <c r="F19" s="63">
        <v>5557513</v>
      </c>
      <c r="G19" s="149">
        <f>'Data Worksheet for FY 1718'!D17</f>
        <v>5543543</v>
      </c>
      <c r="H19" s="160">
        <f t="shared" si="2"/>
        <v>-13970</v>
      </c>
      <c r="I19" s="56">
        <f t="shared" si="3"/>
        <v>-2.5137143178972322E-3</v>
      </c>
      <c r="J19" s="24"/>
      <c r="K19" s="26"/>
    </row>
    <row r="20" spans="1:11" x14ac:dyDescent="0.25">
      <c r="A20" s="57" t="s">
        <v>52</v>
      </c>
      <c r="B20" s="17" t="s">
        <v>54</v>
      </c>
      <c r="C20" s="61">
        <v>9736</v>
      </c>
      <c r="D20" s="138">
        <v>10000</v>
      </c>
      <c r="E20" s="64">
        <v>15042</v>
      </c>
      <c r="F20" s="63">
        <v>15042</v>
      </c>
      <c r="G20" s="149">
        <f>'Data Worksheet for FY 1718'!D18</f>
        <v>15042</v>
      </c>
      <c r="H20" s="160">
        <f t="shared" si="2"/>
        <v>0</v>
      </c>
      <c r="I20" s="56">
        <f t="shared" si="3"/>
        <v>0</v>
      </c>
      <c r="J20" s="24"/>
      <c r="K20" s="24"/>
    </row>
    <row r="21" spans="1:11" x14ac:dyDescent="0.25">
      <c r="A21" s="57" t="s">
        <v>53</v>
      </c>
      <c r="B21" s="17" t="s">
        <v>35</v>
      </c>
      <c r="C21" s="61">
        <v>509896</v>
      </c>
      <c r="D21" s="138">
        <v>662933</v>
      </c>
      <c r="E21" s="64">
        <v>633069</v>
      </c>
      <c r="F21" s="63">
        <v>1022103</v>
      </c>
      <c r="G21" s="149">
        <f>'Data Worksheet for FY 1718'!D19</f>
        <v>1062550</v>
      </c>
      <c r="H21" s="160">
        <f t="shared" si="2"/>
        <v>40447</v>
      </c>
      <c r="I21" s="56">
        <f t="shared" si="3"/>
        <v>3.9572332729675974E-2</v>
      </c>
      <c r="J21" s="24"/>
      <c r="K21" s="26"/>
    </row>
    <row r="22" spans="1:11" x14ac:dyDescent="0.25">
      <c r="A22" s="57" t="s">
        <v>23</v>
      </c>
      <c r="B22" s="17" t="s">
        <v>31</v>
      </c>
      <c r="C22" s="62">
        <v>8854316</v>
      </c>
      <c r="D22" s="138">
        <v>8953814</v>
      </c>
      <c r="E22" s="64">
        <v>11429930</v>
      </c>
      <c r="F22" s="63">
        <v>10772000</v>
      </c>
      <c r="G22" s="149">
        <f>'Data Worksheet for FY 1718'!D20</f>
        <v>10726197</v>
      </c>
      <c r="H22" s="160">
        <f t="shared" si="2"/>
        <v>-45803</v>
      </c>
      <c r="I22" s="56">
        <f t="shared" si="3"/>
        <v>-4.2520423319717783E-3</v>
      </c>
      <c r="J22" s="24"/>
      <c r="K22" s="26"/>
    </row>
    <row r="23" spans="1:11" x14ac:dyDescent="0.25">
      <c r="A23" s="57" t="s">
        <v>24</v>
      </c>
      <c r="B23" s="17" t="s">
        <v>47</v>
      </c>
      <c r="C23" s="61">
        <f>3811092-19200</f>
        <v>3791892</v>
      </c>
      <c r="D23" s="138">
        <v>4268843</v>
      </c>
      <c r="E23" s="64">
        <v>4535112</v>
      </c>
      <c r="F23" s="135">
        <v>5470207</v>
      </c>
      <c r="G23" s="149">
        <f>'Data Worksheet for FY 1718'!D21</f>
        <v>5195655</v>
      </c>
      <c r="H23" s="160">
        <f t="shared" si="2"/>
        <v>-274552</v>
      </c>
      <c r="I23" s="56">
        <f t="shared" si="3"/>
        <v>-5.0190422409974615E-2</v>
      </c>
    </row>
    <row r="24" spans="1:11" x14ac:dyDescent="0.25">
      <c r="A24" s="57" t="s">
        <v>25</v>
      </c>
      <c r="B24" s="17" t="s">
        <v>26</v>
      </c>
      <c r="C24" s="61">
        <v>57857</v>
      </c>
      <c r="D24" s="138">
        <v>72504</v>
      </c>
      <c r="E24" s="64">
        <v>79304</v>
      </c>
      <c r="F24" s="63">
        <v>81304</v>
      </c>
      <c r="G24" s="149">
        <f>'Data Worksheet for FY 1718'!D22</f>
        <v>85404</v>
      </c>
      <c r="H24" s="160">
        <f t="shared" si="2"/>
        <v>4100</v>
      </c>
      <c r="I24" s="56">
        <f t="shared" si="3"/>
        <v>5.0428023221489718E-2</v>
      </c>
    </row>
    <row r="25" spans="1:11" x14ac:dyDescent="0.25">
      <c r="A25" s="57" t="s">
        <v>27</v>
      </c>
      <c r="B25" s="17" t="s">
        <v>28</v>
      </c>
      <c r="C25" s="61">
        <v>947142</v>
      </c>
      <c r="D25" s="135">
        <v>331324</v>
      </c>
      <c r="E25" s="64">
        <v>683935</v>
      </c>
      <c r="F25" s="63">
        <v>919888</v>
      </c>
      <c r="G25" s="149">
        <f>'Data Worksheet for FY 1718'!D23</f>
        <v>879289</v>
      </c>
      <c r="H25" s="160">
        <f t="shared" si="2"/>
        <v>-40599</v>
      </c>
      <c r="I25" s="56">
        <f t="shared" si="3"/>
        <v>-4.4134720748612875E-2</v>
      </c>
    </row>
    <row r="26" spans="1:11" x14ac:dyDescent="0.25">
      <c r="A26" s="57" t="s">
        <v>29</v>
      </c>
      <c r="B26" s="17" t="s">
        <v>30</v>
      </c>
      <c r="C26" s="61">
        <v>2025</v>
      </c>
      <c r="D26" s="138">
        <v>2025</v>
      </c>
      <c r="E26" s="64">
        <v>2025</v>
      </c>
      <c r="F26" s="63">
        <v>31525</v>
      </c>
      <c r="G26" s="149">
        <f>'Data Worksheet for FY 1718'!D24</f>
        <v>31525</v>
      </c>
      <c r="H26" s="160">
        <f t="shared" si="2"/>
        <v>0</v>
      </c>
      <c r="I26" s="56">
        <f t="shared" si="3"/>
        <v>0</v>
      </c>
    </row>
    <row r="27" spans="1:11" s="17" customFormat="1" x14ac:dyDescent="0.25">
      <c r="A27" s="57" t="s">
        <v>121</v>
      </c>
      <c r="B27" s="17" t="s">
        <v>46</v>
      </c>
      <c r="C27" s="61">
        <v>367115</v>
      </c>
      <c r="D27" s="138">
        <v>0</v>
      </c>
      <c r="E27" s="64">
        <v>0</v>
      </c>
      <c r="F27" s="63">
        <v>0</v>
      </c>
      <c r="G27" s="149">
        <f>'Data Worksheet for FY 1718'!D25</f>
        <v>0</v>
      </c>
      <c r="H27" s="160">
        <f t="shared" si="2"/>
        <v>0</v>
      </c>
      <c r="I27" s="56">
        <v>0</v>
      </c>
    </row>
    <row r="28" spans="1:11" x14ac:dyDescent="0.25">
      <c r="A28" s="57" t="s">
        <v>77</v>
      </c>
      <c r="B28" s="17" t="s">
        <v>76</v>
      </c>
      <c r="C28" s="62">
        <f>-(SUM(C15:C26)-C29)</f>
        <v>1277132</v>
      </c>
      <c r="D28" s="139">
        <v>849368</v>
      </c>
      <c r="E28" s="93">
        <v>336481</v>
      </c>
      <c r="F28" s="79">
        <v>724219</v>
      </c>
      <c r="G28" s="149">
        <f>'Data Worksheet for FY 1718'!D26</f>
        <v>721988</v>
      </c>
      <c r="H28" s="160">
        <f t="shared" si="2"/>
        <v>-2231</v>
      </c>
      <c r="I28" s="56">
        <f t="shared" si="3"/>
        <v>-3.0805598858908699E-3</v>
      </c>
    </row>
    <row r="29" spans="1:11" s="10" customFormat="1" x14ac:dyDescent="0.25">
      <c r="A29" s="9" t="s">
        <v>12</v>
      </c>
      <c r="B29" s="9"/>
      <c r="C29" s="20">
        <f>C12</f>
        <v>40992241</v>
      </c>
      <c r="D29" s="20">
        <v>42297575</v>
      </c>
      <c r="E29" s="77">
        <v>46990454</v>
      </c>
      <c r="F29" s="77">
        <f>SUM(F15:F28)</f>
        <v>49503939</v>
      </c>
      <c r="G29" s="39">
        <f>SUM(G15:G28)</f>
        <v>48594646</v>
      </c>
      <c r="H29" s="39">
        <f>H12</f>
        <v>-909293</v>
      </c>
      <c r="I29" s="56">
        <f t="shared" si="3"/>
        <v>-1.8368093900568195E-2</v>
      </c>
    </row>
    <row r="30" spans="1:11" s="50" customFormat="1" ht="9.9499999999999993" hidden="1" customHeight="1" x14ac:dyDescent="0.15">
      <c r="B30" s="50" t="s">
        <v>48</v>
      </c>
      <c r="C30" s="51">
        <f>SUM(C15:C28)</f>
        <v>41359356</v>
      </c>
      <c r="D30" s="51">
        <f>SUM(D15:D28)</f>
        <v>42297575</v>
      </c>
      <c r="E30" s="80">
        <f>SUM(E15:E28)</f>
        <v>46990454</v>
      </c>
      <c r="F30" s="51">
        <f>SUM(F15:F28)</f>
        <v>49503939</v>
      </c>
      <c r="G30" s="51">
        <f>SUM(G15:G28)</f>
        <v>48594646</v>
      </c>
      <c r="H30" s="80"/>
    </row>
    <row r="31" spans="1:11" s="50" customFormat="1" ht="9.9499999999999993" hidden="1" customHeight="1" x14ac:dyDescent="0.15">
      <c r="B31" s="50" t="s">
        <v>49</v>
      </c>
      <c r="C31" s="51">
        <f>C29-C30</f>
        <v>-367115</v>
      </c>
      <c r="D31" s="51">
        <f>D29-D30</f>
        <v>0</v>
      </c>
      <c r="E31" s="80">
        <f>E29-E30</f>
        <v>0</v>
      </c>
      <c r="F31" s="51">
        <f>F29-F30</f>
        <v>0</v>
      </c>
      <c r="G31" s="51">
        <f>G29-G30</f>
        <v>0</v>
      </c>
      <c r="H31" s="80"/>
    </row>
    <row r="32" spans="1:11" s="50" customFormat="1" ht="9.9499999999999993" customHeight="1" x14ac:dyDescent="0.15">
      <c r="C32" s="51"/>
      <c r="D32" s="51"/>
      <c r="E32" s="51"/>
      <c r="F32" s="51"/>
      <c r="G32" s="51"/>
      <c r="H32" s="51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  <row r="38" spans="4:5" x14ac:dyDescent="0.25">
      <c r="D38" s="6" t="s">
        <v>33</v>
      </c>
      <c r="E38" s="6"/>
    </row>
    <row r="39" spans="4:5" x14ac:dyDescent="0.25">
      <c r="D39" s="5"/>
      <c r="E39" s="5"/>
    </row>
    <row r="40" spans="4:5" x14ac:dyDescent="0.25">
      <c r="D40" s="5"/>
      <c r="E40" s="5"/>
    </row>
  </sheetData>
  <printOptions horizontalCentered="1"/>
  <pageMargins left="0.25" right="0.25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7"/>
  <sheetViews>
    <sheetView topLeftCell="A21" zoomScale="90" zoomScaleNormal="90" workbookViewId="0">
      <selection activeCell="E50" sqref="E50"/>
    </sheetView>
  </sheetViews>
  <sheetFormatPr defaultColWidth="9.140625" defaultRowHeight="15.75" x14ac:dyDescent="0.25"/>
  <cols>
    <col min="1" max="1" width="40.7109375" style="1" customWidth="1"/>
    <col min="2" max="2" width="20.7109375" style="1" customWidth="1"/>
    <col min="3" max="3" width="25.7109375" style="1" hidden="1" customWidth="1"/>
    <col min="4" max="4" width="23.140625" style="1" customWidth="1"/>
    <col min="5" max="5" width="24.85546875" style="17" customWidth="1"/>
    <col min="6" max="6" width="25.140625" style="3" customWidth="1"/>
    <col min="7" max="7" width="26.85546875" style="3" customWidth="1"/>
    <col min="8" max="8" width="19.7109375" style="3" customWidth="1"/>
    <col min="9" max="9" width="10.140625" style="1" bestFit="1" customWidth="1"/>
    <col min="10" max="10" width="9.140625" style="1"/>
    <col min="11" max="11" width="13.85546875" style="1" customWidth="1"/>
    <col min="12" max="12" width="9.140625" style="1"/>
    <col min="13" max="13" width="12.7109375" style="1" bestFit="1" customWidth="1"/>
    <col min="14" max="16384" width="9.140625" style="1"/>
  </cols>
  <sheetData>
    <row r="1" spans="1:11" s="24" customFormat="1" ht="63.75" customHeight="1" x14ac:dyDescent="0.2">
      <c r="A1" s="43" t="s">
        <v>88</v>
      </c>
      <c r="B1" s="44"/>
      <c r="C1" s="44"/>
      <c r="D1" s="44"/>
      <c r="F1" s="113"/>
      <c r="G1" s="113"/>
      <c r="H1" s="113"/>
    </row>
    <row r="2" spans="1:11" s="24" customFormat="1" ht="18" x14ac:dyDescent="0.2">
      <c r="A2" s="116" t="str">
        <f>Summary!A40</f>
        <v>PROPOSED FISCAL YEAR 2017-2018  OPERATING BUDGET</v>
      </c>
      <c r="B2" s="114"/>
      <c r="C2" s="114"/>
      <c r="D2" s="114"/>
      <c r="E2" s="114"/>
      <c r="F2" s="114"/>
      <c r="G2" s="114"/>
      <c r="H2" s="114"/>
    </row>
    <row r="3" spans="1:11" s="17" customFormat="1" x14ac:dyDescent="0.25">
      <c r="F3" s="3"/>
      <c r="G3" s="3"/>
      <c r="H3" s="3"/>
    </row>
    <row r="4" spans="1:11" s="10" customFormat="1" x14ac:dyDescent="0.25">
      <c r="A4" s="9" t="s">
        <v>1</v>
      </c>
      <c r="B4" s="9" t="s">
        <v>3</v>
      </c>
      <c r="C4" s="47" t="s">
        <v>41</v>
      </c>
      <c r="D4" s="153" t="s">
        <v>80</v>
      </c>
      <c r="E4" s="123" t="s">
        <v>93</v>
      </c>
      <c r="F4" s="76" t="s">
        <v>124</v>
      </c>
      <c r="G4" s="158" t="s">
        <v>145</v>
      </c>
      <c r="H4" s="159" t="s">
        <v>138</v>
      </c>
      <c r="I4" s="162" t="s">
        <v>139</v>
      </c>
      <c r="J4" s="12"/>
      <c r="K4" s="12"/>
    </row>
    <row r="5" spans="1:11" x14ac:dyDescent="0.25">
      <c r="A5" s="145" t="s">
        <v>0</v>
      </c>
      <c r="B5" s="17" t="s">
        <v>2</v>
      </c>
      <c r="C5" s="15">
        <v>19017715</v>
      </c>
      <c r="D5" s="137">
        <v>19486679</v>
      </c>
      <c r="E5" s="140">
        <v>21351243</v>
      </c>
      <c r="F5" s="140">
        <v>20476239</v>
      </c>
      <c r="G5" s="148">
        <f>'Data Worksheet for FY 1718'!E3</f>
        <v>20678364</v>
      </c>
      <c r="H5" s="64">
        <f>G5-F5</f>
        <v>202125</v>
      </c>
      <c r="I5" s="56">
        <f>H5/F5</f>
        <v>9.8711975377900208E-3</v>
      </c>
      <c r="J5" s="11"/>
      <c r="K5" s="11"/>
    </row>
    <row r="6" spans="1:11" x14ac:dyDescent="0.25">
      <c r="A6" s="57" t="s">
        <v>4</v>
      </c>
      <c r="B6" s="17" t="s">
        <v>5</v>
      </c>
      <c r="C6" s="15">
        <v>784786</v>
      </c>
      <c r="D6" s="138">
        <v>582473</v>
      </c>
      <c r="E6" s="135">
        <v>579626</v>
      </c>
      <c r="F6" s="135">
        <v>655706</v>
      </c>
      <c r="G6" s="149">
        <f>'Data Worksheet for FY 1718'!E4</f>
        <v>619881</v>
      </c>
      <c r="H6" s="64">
        <f t="shared" ref="H6:H11" si="0">G6-F6</f>
        <v>-35825</v>
      </c>
      <c r="I6" s="56">
        <f t="shared" ref="I6:I12" si="1">H6/F6</f>
        <v>-5.4635766639317011E-2</v>
      </c>
      <c r="J6" s="11"/>
      <c r="K6" s="11"/>
    </row>
    <row r="7" spans="1:11" x14ac:dyDescent="0.25">
      <c r="A7" s="57" t="s">
        <v>6</v>
      </c>
      <c r="B7" s="17" t="s">
        <v>7</v>
      </c>
      <c r="C7" s="15">
        <v>3329189</v>
      </c>
      <c r="D7" s="138">
        <v>2677136</v>
      </c>
      <c r="E7" s="135">
        <v>2162713</v>
      </c>
      <c r="F7" s="135">
        <v>2752046</v>
      </c>
      <c r="G7" s="149">
        <f>'Data Worksheet for FY 1718'!E5</f>
        <v>2951302</v>
      </c>
      <c r="H7" s="64">
        <f t="shared" si="0"/>
        <v>199256</v>
      </c>
      <c r="I7" s="56">
        <f t="shared" si="1"/>
        <v>7.2402859545225629E-2</v>
      </c>
      <c r="J7" s="11"/>
      <c r="K7" s="128"/>
    </row>
    <row r="8" spans="1:11" x14ac:dyDescent="0.25">
      <c r="A8" s="57" t="s">
        <v>8</v>
      </c>
      <c r="B8" s="17" t="s">
        <v>9</v>
      </c>
      <c r="C8" s="15">
        <v>2438619</v>
      </c>
      <c r="D8" s="138">
        <v>3069452</v>
      </c>
      <c r="E8" s="135">
        <v>3032490</v>
      </c>
      <c r="F8" s="135">
        <v>3222166</v>
      </c>
      <c r="G8" s="149">
        <f>'Data Worksheet for FY 1718'!E6</f>
        <v>2895159</v>
      </c>
      <c r="H8" s="64">
        <f t="shared" si="0"/>
        <v>-327007</v>
      </c>
      <c r="I8" s="56">
        <f t="shared" si="1"/>
        <v>-0.10148670180245215</v>
      </c>
      <c r="J8" s="11"/>
      <c r="K8" s="128"/>
    </row>
    <row r="9" spans="1:11" x14ac:dyDescent="0.25">
      <c r="A9" s="57" t="s">
        <v>32</v>
      </c>
      <c r="B9" s="17" t="s">
        <v>11</v>
      </c>
      <c r="C9" s="15">
        <v>3135283</v>
      </c>
      <c r="D9" s="138">
        <v>3241918</v>
      </c>
      <c r="E9" s="135">
        <v>3488378</v>
      </c>
      <c r="F9" s="135">
        <v>3482245</v>
      </c>
      <c r="G9" s="149">
        <f>'Data Worksheet for FY 1718'!E7</f>
        <v>3543563</v>
      </c>
      <c r="H9" s="64">
        <f t="shared" si="0"/>
        <v>61318</v>
      </c>
      <c r="I9" s="56">
        <f t="shared" si="1"/>
        <v>1.7608755271383836E-2</v>
      </c>
      <c r="J9" s="11"/>
      <c r="K9" s="128"/>
    </row>
    <row r="10" spans="1:11" x14ac:dyDescent="0.25">
      <c r="A10" s="57" t="s">
        <v>120</v>
      </c>
      <c r="B10" s="17" t="s">
        <v>39</v>
      </c>
      <c r="C10" s="15">
        <v>43349</v>
      </c>
      <c r="D10" s="138">
        <v>1333238</v>
      </c>
      <c r="E10" s="135">
        <v>1496341</v>
      </c>
      <c r="F10" s="135">
        <v>1585573</v>
      </c>
      <c r="G10" s="149">
        <f>'Data Worksheet for FY 1718'!E8</f>
        <v>137139</v>
      </c>
      <c r="H10" s="64">
        <f t="shared" si="0"/>
        <v>-1448434</v>
      </c>
      <c r="I10" s="56">
        <f t="shared" si="1"/>
        <v>-0.91350823960801553</v>
      </c>
      <c r="K10" s="128"/>
    </row>
    <row r="11" spans="1:11" hidden="1" x14ac:dyDescent="0.25">
      <c r="A11" s="17" t="s">
        <v>38</v>
      </c>
      <c r="B11" s="17"/>
      <c r="C11" s="15">
        <v>0</v>
      </c>
      <c r="D11" s="3"/>
      <c r="E11" s="37"/>
      <c r="F11" s="37"/>
      <c r="G11" s="40"/>
      <c r="H11" s="64">
        <f t="shared" si="0"/>
        <v>0</v>
      </c>
      <c r="I11" s="56" t="e">
        <f t="shared" si="1"/>
        <v>#DIV/0!</v>
      </c>
      <c r="J11" s="11"/>
      <c r="K11" s="128"/>
    </row>
    <row r="12" spans="1:11" s="10" customFormat="1" x14ac:dyDescent="0.25">
      <c r="A12" s="9" t="s">
        <v>12</v>
      </c>
      <c r="B12" s="9"/>
      <c r="C12" s="20">
        <f>SUM(C5:C11)</f>
        <v>28748941</v>
      </c>
      <c r="D12" s="20">
        <v>30390896</v>
      </c>
      <c r="E12" s="77">
        <v>32110791</v>
      </c>
      <c r="F12" s="77">
        <f>SUM(F5:F10)</f>
        <v>32173975</v>
      </c>
      <c r="G12" s="39">
        <f>SUM(G5:G11)</f>
        <v>30825408</v>
      </c>
      <c r="H12" s="39">
        <f>SUM(H5:H11)</f>
        <v>-1348567</v>
      </c>
      <c r="I12" s="56">
        <f t="shared" si="1"/>
        <v>-4.1914839555883286E-2</v>
      </c>
      <c r="J12" s="12"/>
      <c r="K12" s="128"/>
    </row>
    <row r="13" spans="1:11" x14ac:dyDescent="0.25">
      <c r="A13" s="17"/>
      <c r="B13" s="17"/>
      <c r="C13" s="15"/>
      <c r="D13" s="17"/>
      <c r="E13" s="13"/>
      <c r="F13" s="13"/>
      <c r="G13" s="13"/>
      <c r="H13" s="13"/>
      <c r="I13" s="11"/>
      <c r="J13" s="11"/>
      <c r="K13" s="128"/>
    </row>
    <row r="14" spans="1:11" s="10" customFormat="1" x14ac:dyDescent="0.25">
      <c r="A14" s="9" t="s">
        <v>13</v>
      </c>
      <c r="B14" s="9"/>
      <c r="C14" s="47" t="s">
        <v>41</v>
      </c>
      <c r="D14" s="153" t="s">
        <v>80</v>
      </c>
      <c r="E14" s="123" t="s">
        <v>93</v>
      </c>
      <c r="F14" s="123" t="s">
        <v>124</v>
      </c>
      <c r="G14" s="158" t="s">
        <v>145</v>
      </c>
      <c r="H14" s="159"/>
      <c r="I14" s="12"/>
      <c r="J14" s="12"/>
      <c r="K14" s="128"/>
    </row>
    <row r="15" spans="1:11" x14ac:dyDescent="0.25">
      <c r="A15" s="145" t="s">
        <v>14</v>
      </c>
      <c r="B15" s="17" t="s">
        <v>15</v>
      </c>
      <c r="C15" s="61">
        <v>4849708</v>
      </c>
      <c r="D15" s="137">
        <v>5016444</v>
      </c>
      <c r="E15" s="140">
        <v>5498246</v>
      </c>
      <c r="F15" s="140">
        <v>5566629</v>
      </c>
      <c r="G15" s="148">
        <f>'Data Worksheet for FY 1718'!E13</f>
        <v>5456629</v>
      </c>
      <c r="H15" s="64">
        <f t="shared" ref="H15:H28" si="2">G15-F15</f>
        <v>-110000</v>
      </c>
      <c r="I15" s="56">
        <f t="shared" ref="I15:I29" si="3">H15/F15</f>
        <v>-1.9760612751451551E-2</v>
      </c>
      <c r="J15" s="11"/>
      <c r="K15" s="128"/>
    </row>
    <row r="16" spans="1:11" x14ac:dyDescent="0.25">
      <c r="A16" s="57" t="s">
        <v>16</v>
      </c>
      <c r="B16" s="17" t="s">
        <v>17</v>
      </c>
      <c r="C16" s="61">
        <v>235741</v>
      </c>
      <c r="D16" s="138">
        <v>274422</v>
      </c>
      <c r="E16" s="135">
        <v>354749</v>
      </c>
      <c r="F16" s="135">
        <v>378304</v>
      </c>
      <c r="G16" s="149">
        <f>'Data Worksheet for FY 1718'!E14</f>
        <v>399197</v>
      </c>
      <c r="H16" s="64">
        <f t="shared" si="2"/>
        <v>20893</v>
      </c>
      <c r="I16" s="56">
        <f t="shared" si="3"/>
        <v>5.5228070546438843E-2</v>
      </c>
      <c r="J16" s="11"/>
      <c r="K16" s="11"/>
    </row>
    <row r="17" spans="1:11" x14ac:dyDescent="0.25">
      <c r="A17" s="57" t="s">
        <v>18</v>
      </c>
      <c r="B17" s="17" t="s">
        <v>19</v>
      </c>
      <c r="C17" s="61">
        <v>6517276</v>
      </c>
      <c r="D17" s="138">
        <v>6180977</v>
      </c>
      <c r="E17" s="135">
        <v>6706295</v>
      </c>
      <c r="F17" s="135">
        <v>5432089</v>
      </c>
      <c r="G17" s="149">
        <f>'Data Worksheet for FY 1718'!E15</f>
        <v>4927245</v>
      </c>
      <c r="H17" s="64">
        <f t="shared" si="2"/>
        <v>-504844</v>
      </c>
      <c r="I17" s="56">
        <f t="shared" si="3"/>
        <v>-9.2937357985114016E-2</v>
      </c>
      <c r="J17" s="11"/>
      <c r="K17" s="11"/>
    </row>
    <row r="18" spans="1:11" x14ac:dyDescent="0.25">
      <c r="A18" s="57" t="s">
        <v>20</v>
      </c>
      <c r="B18" s="17" t="s">
        <v>36</v>
      </c>
      <c r="C18" s="61">
        <v>3874101</v>
      </c>
      <c r="D18" s="138">
        <v>3988637</v>
      </c>
      <c r="E18" s="135">
        <v>4218168</v>
      </c>
      <c r="F18" s="135">
        <v>4449576</v>
      </c>
      <c r="G18" s="149">
        <f>'Data Worksheet for FY 1718'!E16</f>
        <v>4327317</v>
      </c>
      <c r="H18" s="64">
        <f t="shared" si="2"/>
        <v>-122259</v>
      </c>
      <c r="I18" s="56">
        <f t="shared" si="3"/>
        <v>-2.7476550574706445E-2</v>
      </c>
      <c r="J18" s="11"/>
      <c r="K18" s="11"/>
    </row>
    <row r="19" spans="1:11" x14ac:dyDescent="0.25">
      <c r="A19" s="57" t="s">
        <v>21</v>
      </c>
      <c r="B19" s="17" t="s">
        <v>22</v>
      </c>
      <c r="C19" s="61">
        <v>3184336</v>
      </c>
      <c r="D19" s="138">
        <v>3787776</v>
      </c>
      <c r="E19" s="135">
        <v>4005158</v>
      </c>
      <c r="F19" s="135">
        <v>4106293</v>
      </c>
      <c r="G19" s="149">
        <f>'Data Worksheet for FY 1718'!E17</f>
        <v>3994001</v>
      </c>
      <c r="H19" s="64">
        <f t="shared" si="2"/>
        <v>-112292</v>
      </c>
      <c r="I19" s="56">
        <f t="shared" si="3"/>
        <v>-2.7346319417537911E-2</v>
      </c>
      <c r="J19" s="11"/>
      <c r="K19" s="11"/>
    </row>
    <row r="20" spans="1:11" x14ac:dyDescent="0.25">
      <c r="A20" s="57" t="s">
        <v>52</v>
      </c>
      <c r="B20" s="17" t="s">
        <v>54</v>
      </c>
      <c r="C20" s="61">
        <v>2100</v>
      </c>
      <c r="D20" s="138">
        <v>2600</v>
      </c>
      <c r="E20" s="135">
        <v>2600</v>
      </c>
      <c r="F20" s="135">
        <v>1500</v>
      </c>
      <c r="G20" s="149">
        <f>'Data Worksheet for FY 1718'!E18</f>
        <v>1500</v>
      </c>
      <c r="H20" s="64">
        <f t="shared" si="2"/>
        <v>0</v>
      </c>
      <c r="I20" s="56">
        <f t="shared" si="3"/>
        <v>0</v>
      </c>
      <c r="J20" s="11"/>
      <c r="K20" s="11"/>
    </row>
    <row r="21" spans="1:11" x14ac:dyDescent="0.25">
      <c r="A21" s="57" t="s">
        <v>53</v>
      </c>
      <c r="B21" s="17" t="s">
        <v>35</v>
      </c>
      <c r="C21" s="61">
        <v>376780</v>
      </c>
      <c r="D21" s="138">
        <v>335675</v>
      </c>
      <c r="E21" s="135">
        <v>449612</v>
      </c>
      <c r="F21" s="135">
        <v>430519</v>
      </c>
      <c r="G21" s="149">
        <f>'Data Worksheet for FY 1718'!E19</f>
        <v>385260</v>
      </c>
      <c r="H21" s="64">
        <f t="shared" si="2"/>
        <v>-45259</v>
      </c>
      <c r="I21" s="56">
        <f t="shared" si="3"/>
        <v>-0.10512660300706821</v>
      </c>
      <c r="J21" s="11"/>
      <c r="K21" s="11"/>
    </row>
    <row r="22" spans="1:11" x14ac:dyDescent="0.25">
      <c r="A22" s="57" t="s">
        <v>23</v>
      </c>
      <c r="B22" s="17" t="s">
        <v>31</v>
      </c>
      <c r="C22" s="62">
        <v>6163520</v>
      </c>
      <c r="D22" s="138">
        <v>5953434</v>
      </c>
      <c r="E22" s="135">
        <v>7448080</v>
      </c>
      <c r="F22" s="135">
        <v>6953701</v>
      </c>
      <c r="G22" s="149">
        <f>'Data Worksheet for FY 1718'!E20</f>
        <v>6628645</v>
      </c>
      <c r="H22" s="64">
        <f t="shared" si="2"/>
        <v>-325056</v>
      </c>
      <c r="I22" s="56">
        <f t="shared" si="3"/>
        <v>-4.6745754526977795E-2</v>
      </c>
      <c r="J22" s="11"/>
      <c r="K22" s="11"/>
    </row>
    <row r="23" spans="1:11" x14ac:dyDescent="0.25">
      <c r="A23" s="57" t="s">
        <v>24</v>
      </c>
      <c r="B23" s="17" t="s">
        <v>47</v>
      </c>
      <c r="C23" s="61">
        <v>2220092</v>
      </c>
      <c r="D23" s="138">
        <v>2466165</v>
      </c>
      <c r="E23" s="135">
        <v>3045083</v>
      </c>
      <c r="F23" s="135">
        <v>4016774</v>
      </c>
      <c r="G23" s="149">
        <f>'Data Worksheet for FY 1718'!E21</f>
        <v>3976324</v>
      </c>
      <c r="H23" s="64">
        <f t="shared" si="2"/>
        <v>-40450</v>
      </c>
      <c r="I23" s="56">
        <f t="shared" si="3"/>
        <v>-1.007027032140718E-2</v>
      </c>
      <c r="J23" s="11"/>
      <c r="K23" s="11"/>
    </row>
    <row r="24" spans="1:11" x14ac:dyDescent="0.25">
      <c r="A24" s="57" t="s">
        <v>25</v>
      </c>
      <c r="B24" s="17" t="s">
        <v>26</v>
      </c>
      <c r="C24" s="61">
        <v>102006</v>
      </c>
      <c r="D24" s="138">
        <v>102440</v>
      </c>
      <c r="E24" s="135">
        <v>94638</v>
      </c>
      <c r="F24" s="135">
        <v>95838</v>
      </c>
      <c r="G24" s="149">
        <f>'Data Worksheet for FY 1718'!E22</f>
        <v>90819</v>
      </c>
      <c r="H24" s="64">
        <f t="shared" si="2"/>
        <v>-5019</v>
      </c>
      <c r="I24" s="56">
        <f t="shared" si="3"/>
        <v>-5.2369623740061357E-2</v>
      </c>
      <c r="J24" s="11"/>
      <c r="K24" s="11"/>
    </row>
    <row r="25" spans="1:11" x14ac:dyDescent="0.25">
      <c r="A25" s="57" t="s">
        <v>27</v>
      </c>
      <c r="B25" s="17" t="s">
        <v>28</v>
      </c>
      <c r="C25" s="61">
        <v>55900</v>
      </c>
      <c r="D25" s="135">
        <v>79915</v>
      </c>
      <c r="E25" s="135">
        <v>144979</v>
      </c>
      <c r="F25" s="135">
        <v>114044</v>
      </c>
      <c r="G25" s="149">
        <f>'Data Worksheet for FY 1718'!E23</f>
        <v>103582</v>
      </c>
      <c r="H25" s="64">
        <f t="shared" si="2"/>
        <v>-10462</v>
      </c>
      <c r="I25" s="56">
        <f t="shared" si="3"/>
        <v>-9.1736522745606952E-2</v>
      </c>
      <c r="J25" s="11"/>
      <c r="K25" s="11"/>
    </row>
    <row r="26" spans="1:11" x14ac:dyDescent="0.25">
      <c r="A26" s="57" t="s">
        <v>29</v>
      </c>
      <c r="B26" s="17" t="s">
        <v>30</v>
      </c>
      <c r="C26" s="61">
        <v>118220</v>
      </c>
      <c r="D26" s="138">
        <v>20670</v>
      </c>
      <c r="E26" s="135">
        <v>24670</v>
      </c>
      <c r="F26" s="135">
        <v>158362</v>
      </c>
      <c r="G26" s="149">
        <f>'Data Worksheet for FY 1718'!E24</f>
        <v>149231</v>
      </c>
      <c r="H26" s="64">
        <f t="shared" si="2"/>
        <v>-9131</v>
      </c>
      <c r="I26" s="56">
        <f t="shared" si="3"/>
        <v>-5.7659034364304571E-2</v>
      </c>
      <c r="J26" s="11"/>
      <c r="K26" s="11"/>
    </row>
    <row r="27" spans="1:11" s="17" customFormat="1" x14ac:dyDescent="0.25">
      <c r="A27" s="57" t="s">
        <v>121</v>
      </c>
      <c r="B27" s="17" t="s">
        <v>46</v>
      </c>
      <c r="C27" s="61">
        <v>43349</v>
      </c>
      <c r="D27" s="138">
        <v>1264829</v>
      </c>
      <c r="E27" s="135">
        <v>0</v>
      </c>
      <c r="F27" s="135">
        <v>0</v>
      </c>
      <c r="G27" s="149">
        <f>'Data Worksheet for FY 1718'!E25</f>
        <v>15924</v>
      </c>
      <c r="H27" s="64">
        <f t="shared" si="2"/>
        <v>15924</v>
      </c>
      <c r="I27" s="56" t="e">
        <f t="shared" si="3"/>
        <v>#DIV/0!</v>
      </c>
      <c r="J27" s="11"/>
      <c r="K27" s="11"/>
    </row>
    <row r="28" spans="1:11" s="17" customFormat="1" x14ac:dyDescent="0.25">
      <c r="A28" s="151" t="s">
        <v>77</v>
      </c>
      <c r="B28" s="17" t="s">
        <v>76</v>
      </c>
      <c r="C28" s="62">
        <v>1005812</v>
      </c>
      <c r="D28" s="139">
        <v>916912</v>
      </c>
      <c r="E28" s="143">
        <v>118513</v>
      </c>
      <c r="F28" s="143">
        <v>470346</v>
      </c>
      <c r="G28" s="150">
        <f>'Data Worksheet for FY 1718'!E26</f>
        <v>369734</v>
      </c>
      <c r="H28" s="64">
        <f t="shared" si="2"/>
        <v>-100612</v>
      </c>
      <c r="I28" s="56">
        <f t="shared" si="3"/>
        <v>-0.21391061048674806</v>
      </c>
      <c r="J28" s="11"/>
      <c r="K28" s="11"/>
    </row>
    <row r="29" spans="1:11" s="10" customFormat="1" x14ac:dyDescent="0.25">
      <c r="A29" s="9" t="s">
        <v>12</v>
      </c>
      <c r="B29" s="9"/>
      <c r="C29" s="20">
        <f>C12</f>
        <v>28748941</v>
      </c>
      <c r="D29" s="20">
        <v>30390896</v>
      </c>
      <c r="E29" s="20">
        <v>32110791</v>
      </c>
      <c r="F29" s="77">
        <f>SUM(F15:F28)</f>
        <v>32173975</v>
      </c>
      <c r="G29" s="39">
        <f>SUM(G15:G28)</f>
        <v>30825408</v>
      </c>
      <c r="H29" s="39">
        <f>H12</f>
        <v>-1348567</v>
      </c>
      <c r="I29" s="56">
        <f t="shared" si="3"/>
        <v>-4.1914839555883286E-2</v>
      </c>
      <c r="J29" s="12"/>
      <c r="K29" s="12"/>
    </row>
    <row r="30" spans="1:11" s="10" customFormat="1" hidden="1" x14ac:dyDescent="0.25">
      <c r="A30" s="12"/>
      <c r="B30" s="50" t="s">
        <v>48</v>
      </c>
      <c r="C30" s="51">
        <f>SUM(C15:C28)</f>
        <v>28748941</v>
      </c>
      <c r="D30" s="51">
        <f>SUM(D15:D28)</f>
        <v>30390896</v>
      </c>
      <c r="E30" s="80">
        <f>SUM(E15:E28)</f>
        <v>32110791</v>
      </c>
      <c r="F30" s="51">
        <f>SUM(F15:F28)</f>
        <v>32173975</v>
      </c>
      <c r="G30" s="51"/>
      <c r="H30" s="80"/>
      <c r="I30" s="12"/>
      <c r="J30" s="12"/>
      <c r="K30" s="12"/>
    </row>
    <row r="31" spans="1:11" hidden="1" x14ac:dyDescent="0.25">
      <c r="B31" s="50" t="s">
        <v>49</v>
      </c>
      <c r="C31" s="51">
        <f>C29-C30</f>
        <v>0</v>
      </c>
      <c r="D31" s="51">
        <f>D29-D30</f>
        <v>0</v>
      </c>
      <c r="E31" s="80">
        <f>E29-E30</f>
        <v>0</v>
      </c>
      <c r="F31" s="51">
        <f>F29-F30</f>
        <v>0</v>
      </c>
      <c r="G31" s="51"/>
      <c r="H31" s="80"/>
      <c r="I31" s="8"/>
      <c r="J31" s="11"/>
    </row>
    <row r="32" spans="1:11" s="17" customFormat="1" x14ac:dyDescent="0.25">
      <c r="B32" s="50"/>
      <c r="C32" s="51"/>
      <c r="D32" s="51"/>
      <c r="E32" s="51"/>
      <c r="F32" s="51"/>
      <c r="G32" s="51"/>
      <c r="H32" s="51"/>
      <c r="I32" s="8"/>
      <c r="J32" s="11"/>
    </row>
    <row r="34" spans="3:13" x14ac:dyDescent="0.25">
      <c r="C34" s="4"/>
    </row>
    <row r="37" spans="3:13" x14ac:dyDescent="0.25">
      <c r="M37" s="7"/>
    </row>
  </sheetData>
  <printOptions horizontalCentered="1"/>
  <pageMargins left="0.25" right="0.25" top="0.75" bottom="0.75" header="0.3" footer="0.3"/>
  <pageSetup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2"/>
  <sheetViews>
    <sheetView zoomScale="90" zoomScaleNormal="90" workbookViewId="0">
      <selection activeCell="L28" sqref="L28"/>
    </sheetView>
  </sheetViews>
  <sheetFormatPr defaultColWidth="9.140625" defaultRowHeight="15.75" x14ac:dyDescent="0.25"/>
  <cols>
    <col min="1" max="1" width="40.7109375" style="1" customWidth="1"/>
    <col min="2" max="2" width="20.7109375" style="1" customWidth="1"/>
    <col min="3" max="3" width="25.7109375" style="1" hidden="1" customWidth="1"/>
    <col min="4" max="4" width="23.140625" style="1" customWidth="1"/>
    <col min="5" max="5" width="24.85546875" style="17" customWidth="1"/>
    <col min="6" max="6" width="25.140625" style="17" customWidth="1"/>
    <col min="7" max="7" width="26.85546875" style="1" customWidth="1"/>
    <col min="8" max="8" width="19.7109375" style="17" customWidth="1"/>
    <col min="9" max="10" width="16.85546875" style="1" bestFit="1" customWidth="1"/>
    <col min="11" max="11" width="12.140625" style="1" customWidth="1"/>
    <col min="12" max="16384" width="9.140625" style="1"/>
  </cols>
  <sheetData>
    <row r="1" spans="1:11" s="24" customFormat="1" ht="44.25" customHeight="1" x14ac:dyDescent="0.2">
      <c r="A1" s="43" t="s">
        <v>89</v>
      </c>
      <c r="B1" s="44"/>
      <c r="C1" s="44"/>
      <c r="D1" s="44"/>
      <c r="F1" s="113"/>
      <c r="G1" s="44"/>
      <c r="H1" s="44"/>
    </row>
    <row r="2" spans="1:11" s="24" customFormat="1" ht="18" x14ac:dyDescent="0.2">
      <c r="A2" s="116" t="str">
        <f>Summary!A2</f>
        <v>PROPOSED FISCAL YEAR 2017-2018  OPERATING BUDGET</v>
      </c>
      <c r="B2" s="114"/>
      <c r="C2" s="114"/>
      <c r="D2" s="114"/>
      <c r="E2" s="114"/>
      <c r="F2" s="114"/>
      <c r="G2" s="114"/>
      <c r="H2" s="114"/>
    </row>
    <row r="3" spans="1:11" s="17" customFormat="1" x14ac:dyDescent="0.25">
      <c r="G3" s="3"/>
      <c r="H3" s="3"/>
    </row>
    <row r="4" spans="1:11" s="10" customFormat="1" x14ac:dyDescent="0.25">
      <c r="A4" s="9" t="s">
        <v>1</v>
      </c>
      <c r="B4" s="9" t="s">
        <v>3</v>
      </c>
      <c r="C4" s="47" t="s">
        <v>41</v>
      </c>
      <c r="D4" s="153" t="s">
        <v>80</v>
      </c>
      <c r="E4" s="123" t="s">
        <v>93</v>
      </c>
      <c r="F4" s="76" t="s">
        <v>124</v>
      </c>
      <c r="G4" s="158" t="s">
        <v>145</v>
      </c>
      <c r="H4" s="159" t="s">
        <v>138</v>
      </c>
      <c r="I4" s="161" t="s">
        <v>139</v>
      </c>
    </row>
    <row r="5" spans="1:11" x14ac:dyDescent="0.25">
      <c r="A5" s="145" t="s">
        <v>0</v>
      </c>
      <c r="B5" s="17" t="s">
        <v>2</v>
      </c>
      <c r="C5" s="15">
        <v>20670393</v>
      </c>
      <c r="D5" s="144">
        <v>20423420</v>
      </c>
      <c r="E5" s="137">
        <v>19360786</v>
      </c>
      <c r="F5" s="140">
        <v>19727614</v>
      </c>
      <c r="G5" s="148">
        <f>'Data Worksheet for FY 1718'!F3+'Worksheet for South &amp; North'!G15</f>
        <v>19830503.43</v>
      </c>
      <c r="H5" s="64">
        <f>G5-F5</f>
        <v>102889.4299999997</v>
      </c>
      <c r="I5" s="56">
        <f>H5/F5</f>
        <v>5.2155030000079943E-3</v>
      </c>
      <c r="J5" s="169">
        <f>G5/$G$12</f>
        <v>0.61520475256669083</v>
      </c>
    </row>
    <row r="6" spans="1:11" x14ac:dyDescent="0.25">
      <c r="A6" s="57" t="s">
        <v>4</v>
      </c>
      <c r="B6" s="17" t="s">
        <v>5</v>
      </c>
      <c r="C6" s="15">
        <v>766792</v>
      </c>
      <c r="D6" s="61">
        <v>666053</v>
      </c>
      <c r="E6" s="138">
        <v>670119</v>
      </c>
      <c r="F6" s="135">
        <v>647730</v>
      </c>
      <c r="G6" s="149">
        <f>'Data Worksheet for FY 1718'!F4</f>
        <v>619730</v>
      </c>
      <c r="H6" s="64">
        <f t="shared" ref="H6:H11" si="0">G6-F6</f>
        <v>-28000</v>
      </c>
      <c r="I6" s="56">
        <f t="shared" ref="I6:I12" si="1">H6/F6</f>
        <v>-4.3227888163277911E-2</v>
      </c>
      <c r="J6" s="169">
        <f t="shared" ref="J6:J12" si="2">G6/$G$12</f>
        <v>1.9225978939666044E-2</v>
      </c>
    </row>
    <row r="7" spans="1:11" x14ac:dyDescent="0.25">
      <c r="A7" s="57" t="s">
        <v>6</v>
      </c>
      <c r="B7" s="17" t="s">
        <v>7</v>
      </c>
      <c r="C7" s="15">
        <v>4204380</v>
      </c>
      <c r="D7" s="61">
        <v>3366563</v>
      </c>
      <c r="E7" s="138">
        <v>3855314</v>
      </c>
      <c r="F7" s="135">
        <v>4207502</v>
      </c>
      <c r="G7" s="149">
        <f>'Data Worksheet for FY 1718'!F5</f>
        <v>4222267</v>
      </c>
      <c r="H7" s="64">
        <f t="shared" si="0"/>
        <v>14765</v>
      </c>
      <c r="I7" s="56">
        <f t="shared" si="1"/>
        <v>3.5092080764310986E-3</v>
      </c>
      <c r="J7" s="169">
        <f t="shared" si="2"/>
        <v>0.13098803740281564</v>
      </c>
    </row>
    <row r="8" spans="1:11" x14ac:dyDescent="0.25">
      <c r="A8" s="57" t="s">
        <v>8</v>
      </c>
      <c r="B8" s="17" t="s">
        <v>9</v>
      </c>
      <c r="C8" s="15">
        <v>2714412</v>
      </c>
      <c r="D8" s="61">
        <v>4103947</v>
      </c>
      <c r="E8" s="138">
        <v>5500950</v>
      </c>
      <c r="F8" s="135">
        <v>4763451</v>
      </c>
      <c r="G8" s="149">
        <f>'Data Worksheet for FY 1718'!F6</f>
        <v>3391548.5</v>
      </c>
      <c r="H8" s="64">
        <f t="shared" si="0"/>
        <v>-1371902.5</v>
      </c>
      <c r="I8" s="56">
        <f t="shared" si="1"/>
        <v>-0.28800600656960679</v>
      </c>
      <c r="J8" s="169">
        <f t="shared" si="2"/>
        <v>0.10521652983372753</v>
      </c>
    </row>
    <row r="9" spans="1:11" x14ac:dyDescent="0.25">
      <c r="A9" s="57" t="s">
        <v>32</v>
      </c>
      <c r="B9" s="17" t="s">
        <v>11</v>
      </c>
      <c r="C9" s="15">
        <v>3898263</v>
      </c>
      <c r="D9" s="61">
        <v>4057296</v>
      </c>
      <c r="E9" s="138">
        <v>4087087</v>
      </c>
      <c r="F9" s="135">
        <v>4248525</v>
      </c>
      <c r="G9" s="149">
        <f>'Data Worksheet for FY 1718'!F7</f>
        <v>4116914.4</v>
      </c>
      <c r="H9" s="64">
        <f t="shared" si="0"/>
        <v>-131610.60000000009</v>
      </c>
      <c r="I9" s="56">
        <f t="shared" si="1"/>
        <v>-3.0977951171288882E-2</v>
      </c>
      <c r="J9" s="169">
        <f t="shared" si="2"/>
        <v>0.1277196675178027</v>
      </c>
    </row>
    <row r="10" spans="1:11" x14ac:dyDescent="0.25">
      <c r="A10" s="57" t="s">
        <v>120</v>
      </c>
      <c r="B10" s="17" t="s">
        <v>39</v>
      </c>
      <c r="C10" s="15">
        <v>1632876</v>
      </c>
      <c r="D10" s="61">
        <v>964348</v>
      </c>
      <c r="E10" s="138">
        <v>948376</v>
      </c>
      <c r="F10" s="135">
        <v>104084</v>
      </c>
      <c r="G10" s="149">
        <f>'Data Worksheet for FY 1718'!F8-'Worksheet for South &amp; North'!G15</f>
        <v>53026</v>
      </c>
      <c r="H10" s="64">
        <f t="shared" si="0"/>
        <v>-51058</v>
      </c>
      <c r="I10" s="56">
        <f t="shared" si="1"/>
        <v>-0.49054609738288307</v>
      </c>
      <c r="J10" s="169">
        <f t="shared" si="2"/>
        <v>1.6450337392973258E-3</v>
      </c>
    </row>
    <row r="11" spans="1:11" hidden="1" x14ac:dyDescent="0.25">
      <c r="A11" s="17" t="s">
        <v>38</v>
      </c>
      <c r="B11" s="17"/>
      <c r="C11" s="15">
        <v>0</v>
      </c>
      <c r="D11" s="3">
        <v>0</v>
      </c>
      <c r="E11" s="3">
        <v>0</v>
      </c>
      <c r="F11" s="37">
        <v>0</v>
      </c>
      <c r="G11" s="40">
        <f>'Data Worksheet for FY 1718'!F9</f>
        <v>0</v>
      </c>
      <c r="H11" s="64">
        <f t="shared" si="0"/>
        <v>0</v>
      </c>
      <c r="I11" s="56" t="e">
        <f t="shared" si="1"/>
        <v>#DIV/0!</v>
      </c>
      <c r="J11" s="169">
        <f t="shared" si="2"/>
        <v>0</v>
      </c>
      <c r="K11" s="17"/>
    </row>
    <row r="12" spans="1:11" x14ac:dyDescent="0.25">
      <c r="A12" s="9" t="s">
        <v>12</v>
      </c>
      <c r="B12" s="9"/>
      <c r="C12" s="20">
        <f>SUM(C5:C11)</f>
        <v>33887116</v>
      </c>
      <c r="D12" s="20">
        <v>33581627</v>
      </c>
      <c r="E12" s="20">
        <v>34422632</v>
      </c>
      <c r="F12" s="77">
        <f>SUM(F5:F11)</f>
        <v>33698906</v>
      </c>
      <c r="G12" s="39">
        <f>SUM(G5:G11)</f>
        <v>32233989.329999998</v>
      </c>
      <c r="H12" s="39">
        <f>SUM(H5:H11)</f>
        <v>-1464916.6700000004</v>
      </c>
      <c r="I12" s="56">
        <f t="shared" si="1"/>
        <v>-4.3470748575636264E-2</v>
      </c>
      <c r="J12" s="169">
        <f t="shared" si="2"/>
        <v>1</v>
      </c>
    </row>
    <row r="13" spans="1:11" x14ac:dyDescent="0.25">
      <c r="A13" s="17"/>
      <c r="B13" s="17"/>
      <c r="C13" s="17"/>
      <c r="D13" s="17"/>
      <c r="F13" s="13"/>
      <c r="G13" s="13"/>
      <c r="H13" s="13"/>
      <c r="I13" s="5"/>
      <c r="J13" s="5"/>
      <c r="K13" s="45"/>
    </row>
    <row r="14" spans="1:11" s="10" customFormat="1" x14ac:dyDescent="0.25">
      <c r="A14" s="9" t="s">
        <v>13</v>
      </c>
      <c r="B14" s="9"/>
      <c r="C14" s="47" t="s">
        <v>41</v>
      </c>
      <c r="D14" s="153" t="s">
        <v>80</v>
      </c>
      <c r="E14" s="153" t="s">
        <v>93</v>
      </c>
      <c r="F14" s="123" t="s">
        <v>124</v>
      </c>
      <c r="G14" s="158" t="s">
        <v>145</v>
      </c>
      <c r="H14" s="159"/>
    </row>
    <row r="15" spans="1:11" x14ac:dyDescent="0.25">
      <c r="A15" s="145" t="s">
        <v>14</v>
      </c>
      <c r="B15" s="17" t="s">
        <v>15</v>
      </c>
      <c r="C15" s="61">
        <v>4489059</v>
      </c>
      <c r="D15" s="61">
        <v>4925382</v>
      </c>
      <c r="E15" s="61">
        <v>5307238</v>
      </c>
      <c r="F15" s="63">
        <v>5567848</v>
      </c>
      <c r="G15" s="148">
        <f>'Data Worksheet for FY 1718'!F13</f>
        <v>5307163</v>
      </c>
      <c r="H15" s="64">
        <f t="shared" ref="H15:H28" si="3">G15-F15</f>
        <v>-260685</v>
      </c>
      <c r="I15" s="56">
        <f t="shared" ref="I15:I29" si="4">H15/F15</f>
        <v>-4.6819704848264539E-2</v>
      </c>
      <c r="J15" s="17"/>
    </row>
    <row r="16" spans="1:11" x14ac:dyDescent="0.25">
      <c r="A16" s="57" t="s">
        <v>16</v>
      </c>
      <c r="B16" s="17" t="s">
        <v>17</v>
      </c>
      <c r="C16" s="61">
        <v>182500</v>
      </c>
      <c r="D16" s="61">
        <v>328710</v>
      </c>
      <c r="E16" s="61">
        <v>274578</v>
      </c>
      <c r="F16" s="63">
        <v>323107</v>
      </c>
      <c r="G16" s="149">
        <f>'Data Worksheet for FY 1718'!F14</f>
        <v>277620</v>
      </c>
      <c r="H16" s="64">
        <f t="shared" si="3"/>
        <v>-45487</v>
      </c>
      <c r="I16" s="56">
        <f t="shared" si="4"/>
        <v>-0.14077998929147309</v>
      </c>
      <c r="J16" s="17"/>
    </row>
    <row r="17" spans="1:10" x14ac:dyDescent="0.25">
      <c r="A17" s="57" t="s">
        <v>18</v>
      </c>
      <c r="B17" s="17" t="s">
        <v>19</v>
      </c>
      <c r="C17" s="61">
        <v>6328674</v>
      </c>
      <c r="D17" s="61">
        <v>5562876</v>
      </c>
      <c r="E17" s="61">
        <v>4652570</v>
      </c>
      <c r="F17" s="118">
        <v>5252559</v>
      </c>
      <c r="G17" s="149">
        <f>'Data Worksheet for FY 1718'!F15</f>
        <v>4719967</v>
      </c>
      <c r="H17" s="64">
        <f t="shared" si="3"/>
        <v>-532592</v>
      </c>
      <c r="I17" s="56">
        <f t="shared" si="4"/>
        <v>-0.10139667160330802</v>
      </c>
      <c r="J17" s="17"/>
    </row>
    <row r="18" spans="1:10" x14ac:dyDescent="0.25">
      <c r="A18" s="57" t="s">
        <v>20</v>
      </c>
      <c r="B18" s="17" t="s">
        <v>36</v>
      </c>
      <c r="C18" s="61">
        <v>3742998</v>
      </c>
      <c r="D18" s="61">
        <v>4106948</v>
      </c>
      <c r="E18" s="61">
        <v>4158814</v>
      </c>
      <c r="F18" s="63">
        <v>4292419</v>
      </c>
      <c r="G18" s="149">
        <f>'Data Worksheet for FY 1718'!F16</f>
        <v>4276681.4000000004</v>
      </c>
      <c r="H18" s="64">
        <f t="shared" si="3"/>
        <v>-15737.599999999627</v>
      </c>
      <c r="I18" s="56">
        <f t="shared" si="4"/>
        <v>-3.6663708738591521E-3</v>
      </c>
      <c r="J18" s="17"/>
    </row>
    <row r="19" spans="1:10" x14ac:dyDescent="0.25">
      <c r="A19" s="57" t="s">
        <v>21</v>
      </c>
      <c r="B19" s="17" t="s">
        <v>22</v>
      </c>
      <c r="C19" s="61">
        <v>3310060</v>
      </c>
      <c r="D19" s="61">
        <v>4461361</v>
      </c>
      <c r="E19" s="61">
        <v>4532417</v>
      </c>
      <c r="F19" s="63">
        <v>4933597</v>
      </c>
      <c r="G19" s="149">
        <f>'Data Worksheet for FY 1718'!F17</f>
        <v>3992325.5</v>
      </c>
      <c r="H19" s="64">
        <f t="shared" si="3"/>
        <v>-941271.5</v>
      </c>
      <c r="I19" s="56">
        <f t="shared" si="4"/>
        <v>-0.19078808017760673</v>
      </c>
      <c r="J19" s="17"/>
    </row>
    <row r="20" spans="1:10" x14ac:dyDescent="0.25">
      <c r="A20" s="57" t="s">
        <v>52</v>
      </c>
      <c r="B20" s="17" t="s">
        <v>54</v>
      </c>
      <c r="C20" s="61">
        <v>10000</v>
      </c>
      <c r="D20" s="61">
        <v>6100</v>
      </c>
      <c r="E20" s="61">
        <v>6100</v>
      </c>
      <c r="F20" s="63">
        <v>8517</v>
      </c>
      <c r="G20" s="149">
        <f>'Data Worksheet for FY 1718'!F18</f>
        <v>7417</v>
      </c>
      <c r="H20" s="64">
        <f t="shared" si="3"/>
        <v>-1100</v>
      </c>
      <c r="I20" s="56">
        <f t="shared" si="4"/>
        <v>-0.12915345779030174</v>
      </c>
      <c r="J20" s="17"/>
    </row>
    <row r="21" spans="1:10" x14ac:dyDescent="0.25">
      <c r="A21" s="57" t="s">
        <v>53</v>
      </c>
      <c r="B21" s="17" t="s">
        <v>35</v>
      </c>
      <c r="C21" s="61">
        <v>529968</v>
      </c>
      <c r="D21" s="61">
        <v>517285</v>
      </c>
      <c r="E21" s="61">
        <v>484244</v>
      </c>
      <c r="F21" s="63">
        <v>676944</v>
      </c>
      <c r="G21" s="149">
        <f>'Data Worksheet for FY 1718'!F19</f>
        <v>581749</v>
      </c>
      <c r="H21" s="64">
        <f t="shared" si="3"/>
        <v>-95195</v>
      </c>
      <c r="I21" s="56">
        <f t="shared" si="4"/>
        <v>-0.14062463069323311</v>
      </c>
      <c r="J21" s="17"/>
    </row>
    <row r="22" spans="1:10" x14ac:dyDescent="0.25">
      <c r="A22" s="57" t="s">
        <v>23</v>
      </c>
      <c r="B22" s="17" t="s">
        <v>31</v>
      </c>
      <c r="C22" s="62">
        <v>6219428</v>
      </c>
      <c r="D22" s="61">
        <v>5845902</v>
      </c>
      <c r="E22" s="61">
        <v>6164278</v>
      </c>
      <c r="F22" s="63">
        <v>6473142</v>
      </c>
      <c r="G22" s="149">
        <f>'Data Worksheet for FY 1718'!F20</f>
        <v>6033211</v>
      </c>
      <c r="H22" s="64">
        <f t="shared" si="3"/>
        <v>-439931</v>
      </c>
      <c r="I22" s="56">
        <f t="shared" si="4"/>
        <v>-6.7962513413115294E-2</v>
      </c>
      <c r="J22" s="17"/>
    </row>
    <row r="23" spans="1:10" x14ac:dyDescent="0.25">
      <c r="A23" s="57" t="s">
        <v>24</v>
      </c>
      <c r="B23" s="17" t="s">
        <v>47</v>
      </c>
      <c r="C23" s="61">
        <v>3383962</v>
      </c>
      <c r="D23" s="61">
        <v>3388778</v>
      </c>
      <c r="E23" s="61">
        <v>6521573</v>
      </c>
      <c r="F23" s="135">
        <v>3567605</v>
      </c>
      <c r="G23" s="149">
        <f>'Data Worksheet for FY 1718'!F21</f>
        <v>3497598</v>
      </c>
      <c r="H23" s="64">
        <f t="shared" si="3"/>
        <v>-70007</v>
      </c>
      <c r="I23" s="56">
        <f t="shared" si="4"/>
        <v>-1.9622968349915421E-2</v>
      </c>
      <c r="J23" s="17"/>
    </row>
    <row r="24" spans="1:10" x14ac:dyDescent="0.25">
      <c r="A24" s="57" t="s">
        <v>25</v>
      </c>
      <c r="B24" s="17" t="s">
        <v>26</v>
      </c>
      <c r="C24" s="61">
        <v>64443</v>
      </c>
      <c r="D24" s="61">
        <v>77893</v>
      </c>
      <c r="E24" s="61">
        <v>71243</v>
      </c>
      <c r="F24" s="63">
        <v>71475</v>
      </c>
      <c r="G24" s="149">
        <f>'Data Worksheet for FY 1718'!F22</f>
        <v>71475</v>
      </c>
      <c r="H24" s="64">
        <f t="shared" si="3"/>
        <v>0</v>
      </c>
      <c r="I24" s="56">
        <f t="shared" si="4"/>
        <v>0</v>
      </c>
      <c r="J24" s="17"/>
    </row>
    <row r="25" spans="1:10" x14ac:dyDescent="0.25">
      <c r="A25" s="57" t="s">
        <v>27</v>
      </c>
      <c r="B25" s="17" t="s">
        <v>28</v>
      </c>
      <c r="C25" s="61">
        <v>593538</v>
      </c>
      <c r="D25" s="61">
        <v>918599</v>
      </c>
      <c r="E25" s="61">
        <v>416515</v>
      </c>
      <c r="F25" s="63">
        <v>312000</v>
      </c>
      <c r="G25" s="149">
        <f>'Data Worksheet for FY 1718'!F23</f>
        <v>115100</v>
      </c>
      <c r="H25" s="64">
        <f t="shared" si="3"/>
        <v>-196900</v>
      </c>
      <c r="I25" s="56">
        <f t="shared" si="4"/>
        <v>-0.63108974358974357</v>
      </c>
      <c r="J25" s="17"/>
    </row>
    <row r="26" spans="1:10" s="17" customFormat="1" x14ac:dyDescent="0.25">
      <c r="A26" s="57" t="s">
        <v>29</v>
      </c>
      <c r="B26" s="17" t="s">
        <v>30</v>
      </c>
      <c r="C26" s="61">
        <v>146424</v>
      </c>
      <c r="D26" s="61">
        <v>123500</v>
      </c>
      <c r="E26" s="61">
        <v>9700</v>
      </c>
      <c r="F26" s="63">
        <v>9700</v>
      </c>
      <c r="G26" s="149">
        <f>'Data Worksheet for FY 1718'!F24</f>
        <v>12200</v>
      </c>
      <c r="H26" s="64">
        <f t="shared" si="3"/>
        <v>2500</v>
      </c>
      <c r="I26" s="56">
        <f t="shared" si="4"/>
        <v>0.25773195876288657</v>
      </c>
    </row>
    <row r="27" spans="1:10" x14ac:dyDescent="0.25">
      <c r="A27" s="57" t="s">
        <v>121</v>
      </c>
      <c r="B27" s="17" t="s">
        <v>46</v>
      </c>
      <c r="C27" s="61">
        <v>1632876</v>
      </c>
      <c r="D27" s="61">
        <v>672574</v>
      </c>
      <c r="E27" s="61">
        <v>0</v>
      </c>
      <c r="F27" s="63">
        <v>0</v>
      </c>
      <c r="G27" s="149">
        <f>'Data Worksheet for FY 1718'!F25</f>
        <v>5998</v>
      </c>
      <c r="H27" s="64">
        <f t="shared" si="3"/>
        <v>5998</v>
      </c>
      <c r="I27" s="56" t="e">
        <f t="shared" si="4"/>
        <v>#DIV/0!</v>
      </c>
      <c r="J27" s="17"/>
    </row>
    <row r="28" spans="1:10" x14ac:dyDescent="0.25">
      <c r="A28" s="151" t="s">
        <v>77</v>
      </c>
      <c r="B28" s="17" t="s">
        <v>76</v>
      </c>
      <c r="C28" s="62">
        <v>2529825</v>
      </c>
      <c r="D28" s="62">
        <v>2645719</v>
      </c>
      <c r="E28" s="62">
        <v>1823362</v>
      </c>
      <c r="F28" s="79">
        <v>2209993</v>
      </c>
      <c r="G28" s="150">
        <f>'Data Worksheet for FY 1718'!F26</f>
        <v>3335484</v>
      </c>
      <c r="H28" s="64">
        <f t="shared" si="3"/>
        <v>1125491</v>
      </c>
      <c r="I28" s="56">
        <f t="shared" si="4"/>
        <v>0.50927355878502778</v>
      </c>
      <c r="J28" s="17"/>
    </row>
    <row r="29" spans="1:10" x14ac:dyDescent="0.25">
      <c r="A29" s="9" t="s">
        <v>12</v>
      </c>
      <c r="B29" s="9"/>
      <c r="C29" s="21">
        <f t="shared" ref="C29:H29" si="5">C12</f>
        <v>33887116</v>
      </c>
      <c r="D29" s="21">
        <v>33581627</v>
      </c>
      <c r="E29" s="21">
        <v>34422632</v>
      </c>
      <c r="F29" s="58">
        <f>SUM(F15:F28)</f>
        <v>33698906</v>
      </c>
      <c r="G29" s="42">
        <f>SUM(G15:G28)</f>
        <v>32233988.899999999</v>
      </c>
      <c r="H29" s="42">
        <f t="shared" si="5"/>
        <v>-1464916.6700000004</v>
      </c>
      <c r="I29" s="56">
        <f t="shared" si="4"/>
        <v>-4.3470748575636264E-2</v>
      </c>
      <c r="J29" s="17"/>
    </row>
    <row r="30" spans="1:10" s="17" customFormat="1" hidden="1" x14ac:dyDescent="0.25">
      <c r="A30" s="12"/>
      <c r="B30" s="50" t="s">
        <v>48</v>
      </c>
      <c r="C30" s="51">
        <f>SUM(C15:C28)</f>
        <v>33163755</v>
      </c>
      <c r="D30" s="51">
        <f>SUM(D15:D28)</f>
        <v>33581627</v>
      </c>
      <c r="E30" s="80">
        <f>SUM(E15:E28)</f>
        <v>34422632</v>
      </c>
      <c r="F30" s="80">
        <f>SUM(F15:F28)</f>
        <v>33698906</v>
      </c>
      <c r="G30" s="51">
        <f>SUM(G15:G28)</f>
        <v>32233988.899999999</v>
      </c>
      <c r="H30" s="80"/>
      <c r="I30" s="45"/>
    </row>
    <row r="31" spans="1:10" s="17" customFormat="1" hidden="1" x14ac:dyDescent="0.25">
      <c r="A31" s="12"/>
      <c r="B31" s="50" t="s">
        <v>49</v>
      </c>
      <c r="C31" s="51">
        <f>C29-C30</f>
        <v>723361</v>
      </c>
      <c r="D31" s="51">
        <f>D29-D30</f>
        <v>0</v>
      </c>
      <c r="E31" s="80">
        <f>E29-E30</f>
        <v>0</v>
      </c>
      <c r="F31" s="80">
        <f>F29-F30</f>
        <v>0</v>
      </c>
      <c r="G31" s="51">
        <f>G29-G30</f>
        <v>0</v>
      </c>
      <c r="H31" s="80"/>
      <c r="I31" s="45"/>
    </row>
    <row r="32" spans="1:10" x14ac:dyDescent="0.25">
      <c r="C32" s="4"/>
    </row>
  </sheetData>
  <printOptions horizontalCentered="1"/>
  <pageMargins left="0.25" right="0.25" top="0.75" bottom="0.75" header="0.3" footer="0.3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3"/>
  <sheetViews>
    <sheetView topLeftCell="A23" zoomScale="90" zoomScaleNormal="90" workbookViewId="0">
      <selection activeCell="D58" sqref="D58"/>
    </sheetView>
  </sheetViews>
  <sheetFormatPr defaultColWidth="9.140625" defaultRowHeight="15.75" x14ac:dyDescent="0.25"/>
  <cols>
    <col min="1" max="1" width="40.7109375" style="1" customWidth="1"/>
    <col min="2" max="2" width="20.7109375" style="1" customWidth="1"/>
    <col min="3" max="3" width="25.7109375" style="1" hidden="1" customWidth="1"/>
    <col min="4" max="4" width="23.140625" style="1" customWidth="1"/>
    <col min="5" max="5" width="24.85546875" style="17" customWidth="1"/>
    <col min="6" max="6" width="25.140625" style="17" customWidth="1"/>
    <col min="7" max="7" width="26.85546875" style="1" customWidth="1"/>
    <col min="8" max="8" width="19.7109375" style="17" customWidth="1"/>
    <col min="9" max="9" width="12.7109375" style="1" bestFit="1" customWidth="1"/>
    <col min="10" max="10" width="11.5703125" style="1" bestFit="1" customWidth="1"/>
    <col min="11" max="12" width="9.140625" style="1"/>
    <col min="13" max="13" width="14.7109375" style="1" bestFit="1" customWidth="1"/>
    <col min="14" max="14" width="11" style="1" bestFit="1" customWidth="1"/>
    <col min="15" max="16384" width="9.140625" style="1"/>
  </cols>
  <sheetData>
    <row r="1" spans="1:14" s="24" customFormat="1" ht="66.75" customHeight="1" x14ac:dyDescent="0.2">
      <c r="A1" s="43" t="s">
        <v>84</v>
      </c>
      <c r="B1" s="44"/>
      <c r="C1" s="44"/>
      <c r="D1" s="44"/>
      <c r="E1" s="44"/>
      <c r="F1" s="113"/>
      <c r="G1" s="44"/>
      <c r="H1" s="44"/>
    </row>
    <row r="2" spans="1:14" s="24" customFormat="1" ht="18" x14ac:dyDescent="0.2">
      <c r="A2" s="116" t="str">
        <f>Summary!A2</f>
        <v>PROPOSED FISCAL YEAR 2017-2018  OPERATING BUDGET</v>
      </c>
      <c r="B2" s="114"/>
      <c r="C2" s="114"/>
      <c r="D2" s="114"/>
      <c r="E2" s="114"/>
      <c r="F2" s="114"/>
      <c r="G2" s="114"/>
      <c r="H2" s="114"/>
    </row>
    <row r="3" spans="1:14" s="17" customFormat="1" x14ac:dyDescent="0.25">
      <c r="G3" s="3"/>
      <c r="H3" s="3"/>
    </row>
    <row r="4" spans="1:14" s="10" customFormat="1" x14ac:dyDescent="0.25">
      <c r="A4" s="9" t="s">
        <v>1</v>
      </c>
      <c r="B4" s="9" t="s">
        <v>3</v>
      </c>
      <c r="C4" s="47" t="s">
        <v>41</v>
      </c>
      <c r="D4" s="48" t="s">
        <v>83</v>
      </c>
      <c r="E4" s="78" t="s">
        <v>94</v>
      </c>
      <c r="F4" s="78" t="s">
        <v>133</v>
      </c>
      <c r="G4" s="158" t="s">
        <v>145</v>
      </c>
      <c r="H4" s="159" t="s">
        <v>138</v>
      </c>
      <c r="I4" s="161" t="s">
        <v>139</v>
      </c>
    </row>
    <row r="5" spans="1:14" x14ac:dyDescent="0.25">
      <c r="A5" s="145" t="s">
        <v>0</v>
      </c>
      <c r="B5" s="17" t="s">
        <v>2</v>
      </c>
      <c r="C5" s="15">
        <v>3554952</v>
      </c>
      <c r="D5" s="137">
        <v>3290147</v>
      </c>
      <c r="E5" s="140">
        <v>3231167</v>
      </c>
      <c r="F5" s="140">
        <v>2995735</v>
      </c>
      <c r="G5" s="148">
        <f>'Data Worksheet for FY 1718'!G3</f>
        <v>2494977.75</v>
      </c>
      <c r="H5" s="64">
        <f>G5-F5</f>
        <v>-500757.25</v>
      </c>
      <c r="I5" s="56">
        <f>H5/F5</f>
        <v>-0.16715672447663094</v>
      </c>
      <c r="J5" s="17"/>
      <c r="M5" s="1">
        <v>2297940</v>
      </c>
      <c r="N5" s="4">
        <f>G5-M5</f>
        <v>197037.75</v>
      </c>
    </row>
    <row r="6" spans="1:14" x14ac:dyDescent="0.25">
      <c r="A6" s="57" t="s">
        <v>4</v>
      </c>
      <c r="B6" s="17" t="s">
        <v>5</v>
      </c>
      <c r="C6" s="15">
        <v>0</v>
      </c>
      <c r="D6" s="138">
        <v>0</v>
      </c>
      <c r="E6" s="135">
        <v>0</v>
      </c>
      <c r="F6" s="135">
        <v>0</v>
      </c>
      <c r="G6" s="149">
        <f>'Data Worksheet for FY 1718'!G4</f>
        <v>0</v>
      </c>
      <c r="H6" s="64">
        <f t="shared" ref="H6:H11" si="0">G6-F6</f>
        <v>0</v>
      </c>
      <c r="I6" s="56" t="e">
        <f t="shared" ref="I6:I12" si="1">H6/F6</f>
        <v>#DIV/0!</v>
      </c>
      <c r="J6" s="17"/>
    </row>
    <row r="7" spans="1:14" x14ac:dyDescent="0.25">
      <c r="A7" s="57" t="s">
        <v>6</v>
      </c>
      <c r="B7" s="17" t="s">
        <v>7</v>
      </c>
      <c r="C7" s="15">
        <v>966946</v>
      </c>
      <c r="D7" s="138">
        <v>572218</v>
      </c>
      <c r="E7" s="135">
        <v>318509</v>
      </c>
      <c r="F7" s="135">
        <v>535230</v>
      </c>
      <c r="G7" s="149">
        <f>'Data Worksheet for FY 1718'!G5</f>
        <v>365281.6</v>
      </c>
      <c r="H7" s="64">
        <f t="shared" si="0"/>
        <v>-169948.40000000002</v>
      </c>
      <c r="I7" s="56">
        <f t="shared" si="1"/>
        <v>-0.3175240550791249</v>
      </c>
      <c r="J7" s="17"/>
    </row>
    <row r="8" spans="1:14" x14ac:dyDescent="0.25">
      <c r="A8" s="57" t="s">
        <v>8</v>
      </c>
      <c r="B8" s="17" t="s">
        <v>9</v>
      </c>
      <c r="C8" s="15">
        <v>551059</v>
      </c>
      <c r="D8" s="138">
        <v>481059</v>
      </c>
      <c r="E8" s="135">
        <v>356910</v>
      </c>
      <c r="F8" s="135">
        <v>266910</v>
      </c>
      <c r="G8" s="149">
        <f>'Data Worksheet for FY 1718'!G6</f>
        <v>464380.72</v>
      </c>
      <c r="H8" s="64">
        <f t="shared" si="0"/>
        <v>197470.71999999997</v>
      </c>
      <c r="I8" s="56">
        <f t="shared" si="1"/>
        <v>0.73984009591247979</v>
      </c>
      <c r="J8" s="17"/>
      <c r="M8" s="67">
        <f>J13*0.33</f>
        <v>0</v>
      </c>
    </row>
    <row r="9" spans="1:14" x14ac:dyDescent="0.25">
      <c r="A9" s="57" t="s">
        <v>32</v>
      </c>
      <c r="B9" s="17" t="s">
        <v>11</v>
      </c>
      <c r="C9" s="15">
        <v>520659</v>
      </c>
      <c r="D9" s="138">
        <v>579218</v>
      </c>
      <c r="E9" s="135">
        <v>357218</v>
      </c>
      <c r="F9" s="135">
        <v>486385</v>
      </c>
      <c r="G9" s="149">
        <f>'Data Worksheet for FY 1718'!G7</f>
        <v>549289</v>
      </c>
      <c r="H9" s="64">
        <f t="shared" si="0"/>
        <v>62904</v>
      </c>
      <c r="I9" s="56">
        <f t="shared" si="1"/>
        <v>0.12932964626787422</v>
      </c>
      <c r="J9" s="17"/>
      <c r="M9" s="68">
        <f>G11-M8</f>
        <v>0</v>
      </c>
    </row>
    <row r="10" spans="1:14" s="17" customFormat="1" x14ac:dyDescent="0.25">
      <c r="A10" s="57" t="s">
        <v>120</v>
      </c>
      <c r="B10" s="17" t="s">
        <v>39</v>
      </c>
      <c r="C10" s="15">
        <v>0</v>
      </c>
      <c r="D10" s="138">
        <v>152454</v>
      </c>
      <c r="E10" s="135">
        <v>701713</v>
      </c>
      <c r="F10" s="135">
        <v>304323</v>
      </c>
      <c r="G10" s="149">
        <f>'Data Worksheet for FY 1718'!G8</f>
        <v>5000</v>
      </c>
      <c r="H10" s="64">
        <f t="shared" si="0"/>
        <v>-299323</v>
      </c>
      <c r="I10" s="56">
        <f t="shared" si="1"/>
        <v>-0.98357008836006476</v>
      </c>
      <c r="M10" s="68">
        <f>-J13-M9</f>
        <v>0</v>
      </c>
    </row>
    <row r="11" spans="1:14" hidden="1" x14ac:dyDescent="0.25">
      <c r="A11" s="17" t="s">
        <v>38</v>
      </c>
      <c r="B11" s="17"/>
      <c r="C11" s="16">
        <v>0</v>
      </c>
      <c r="D11" s="3"/>
      <c r="E11" s="37"/>
      <c r="F11" s="37"/>
      <c r="G11" s="40"/>
      <c r="H11" s="64">
        <f t="shared" si="0"/>
        <v>0</v>
      </c>
      <c r="I11" s="56" t="e">
        <f t="shared" si="1"/>
        <v>#DIV/0!</v>
      </c>
      <c r="J11" s="17"/>
    </row>
    <row r="12" spans="1:14" x14ac:dyDescent="0.25">
      <c r="A12" s="9" t="s">
        <v>12</v>
      </c>
      <c r="B12" s="9"/>
      <c r="C12" s="20">
        <f>SUM(C5:C11)</f>
        <v>5593616</v>
      </c>
      <c r="D12" s="20">
        <v>5075096</v>
      </c>
      <c r="E12" s="77">
        <v>4965517</v>
      </c>
      <c r="F12" s="77">
        <f>SUM(F5:F10)</f>
        <v>4588583</v>
      </c>
      <c r="G12" s="39">
        <f>SUM(G5:G11)</f>
        <v>3878929.0700000003</v>
      </c>
      <c r="H12" s="39">
        <f>SUM(H5:H11)</f>
        <v>-709653.93</v>
      </c>
      <c r="I12" s="56">
        <f t="shared" si="1"/>
        <v>-0.15465644404819529</v>
      </c>
      <c r="J12" s="5"/>
    </row>
    <row r="13" spans="1:14" x14ac:dyDescent="0.25">
      <c r="A13" s="17"/>
      <c r="B13" s="17"/>
      <c r="C13" s="17"/>
      <c r="D13" s="17"/>
      <c r="E13" s="13"/>
      <c r="F13" s="13"/>
      <c r="G13" s="13"/>
      <c r="H13" s="13"/>
      <c r="I13" s="17"/>
      <c r="J13" s="45"/>
    </row>
    <row r="14" spans="1:14" s="10" customFormat="1" x14ac:dyDescent="0.25">
      <c r="A14" s="9" t="s">
        <v>13</v>
      </c>
      <c r="B14" s="9"/>
      <c r="C14" s="47" t="s">
        <v>41</v>
      </c>
      <c r="D14" s="48" t="s">
        <v>83</v>
      </c>
      <c r="E14" s="78" t="s">
        <v>94</v>
      </c>
      <c r="F14" s="78" t="s">
        <v>133</v>
      </c>
      <c r="G14" s="158" t="s">
        <v>145</v>
      </c>
      <c r="H14" s="159"/>
    </row>
    <row r="15" spans="1:14" x14ac:dyDescent="0.25">
      <c r="A15" s="145" t="s">
        <v>14</v>
      </c>
      <c r="B15" s="17" t="s">
        <v>15</v>
      </c>
      <c r="C15" s="61">
        <v>333539</v>
      </c>
      <c r="D15" s="61">
        <v>444127</v>
      </c>
      <c r="E15" s="63">
        <v>444128</v>
      </c>
      <c r="F15" s="63">
        <v>444127</v>
      </c>
      <c r="G15" s="148">
        <f>'Data Worksheet for FY 1718'!G13</f>
        <v>240707</v>
      </c>
      <c r="H15" s="64">
        <f t="shared" ref="H15:H28" si="2">G15-F15</f>
        <v>-203420</v>
      </c>
      <c r="I15" s="56">
        <f t="shared" ref="I15:I29" si="3">H15/F15</f>
        <v>-0.45802214231514859</v>
      </c>
      <c r="J15" s="17"/>
    </row>
    <row r="16" spans="1:14" x14ac:dyDescent="0.25">
      <c r="A16" s="57" t="s">
        <v>16</v>
      </c>
      <c r="B16" s="17" t="s">
        <v>17</v>
      </c>
      <c r="C16" s="61">
        <v>243900</v>
      </c>
      <c r="D16" s="61">
        <v>144299</v>
      </c>
      <c r="E16" s="63">
        <v>141436</v>
      </c>
      <c r="F16" s="63">
        <v>141436</v>
      </c>
      <c r="G16" s="149">
        <f>'Data Worksheet for FY 1718'!G14</f>
        <v>67419</v>
      </c>
      <c r="H16" s="64">
        <f t="shared" si="2"/>
        <v>-74017</v>
      </c>
      <c r="I16" s="56">
        <f t="shared" si="3"/>
        <v>-0.52332503747277925</v>
      </c>
      <c r="J16" s="17"/>
      <c r="K16" s="17"/>
    </row>
    <row r="17" spans="1:11" x14ac:dyDescent="0.25">
      <c r="A17" s="57" t="s">
        <v>18</v>
      </c>
      <c r="B17" s="17" t="s">
        <v>19</v>
      </c>
      <c r="C17" s="61">
        <v>1528272</v>
      </c>
      <c r="D17" s="61">
        <v>1200879</v>
      </c>
      <c r="E17" s="63">
        <v>1200879</v>
      </c>
      <c r="F17" s="63">
        <v>966462</v>
      </c>
      <c r="G17" s="149">
        <f>'Data Worksheet for FY 1718'!G15</f>
        <v>687621.31</v>
      </c>
      <c r="H17" s="64">
        <f t="shared" si="2"/>
        <v>-278840.68999999994</v>
      </c>
      <c r="I17" s="56">
        <f t="shared" si="3"/>
        <v>-0.28851697221411698</v>
      </c>
      <c r="J17" s="17"/>
      <c r="K17" s="17"/>
    </row>
    <row r="18" spans="1:11" x14ac:dyDescent="0.25">
      <c r="A18" s="57" t="s">
        <v>20</v>
      </c>
      <c r="B18" s="17" t="s">
        <v>36</v>
      </c>
      <c r="C18" s="61">
        <v>600011</v>
      </c>
      <c r="D18" s="61">
        <v>659583</v>
      </c>
      <c r="E18" s="63">
        <v>659583</v>
      </c>
      <c r="F18" s="63">
        <v>619583</v>
      </c>
      <c r="G18" s="149">
        <f>'Data Worksheet for FY 1718'!G16</f>
        <v>550614.72</v>
      </c>
      <c r="H18" s="64">
        <f t="shared" si="2"/>
        <v>-68968.280000000028</v>
      </c>
      <c r="I18" s="56">
        <f t="shared" si="3"/>
        <v>-0.11131402895173048</v>
      </c>
      <c r="J18" s="17"/>
      <c r="K18" s="17"/>
    </row>
    <row r="19" spans="1:11" x14ac:dyDescent="0.25">
      <c r="A19" s="57" t="s">
        <v>21</v>
      </c>
      <c r="B19" s="17" t="s">
        <v>22</v>
      </c>
      <c r="C19" s="61">
        <v>691544</v>
      </c>
      <c r="D19" s="61">
        <v>514173</v>
      </c>
      <c r="E19" s="63">
        <v>514173</v>
      </c>
      <c r="F19" s="63">
        <v>464173</v>
      </c>
      <c r="G19" s="149">
        <f>'Data Worksheet for FY 1718'!G17</f>
        <v>397981.03999999992</v>
      </c>
      <c r="H19" s="64">
        <f t="shared" si="2"/>
        <v>-66191.960000000079</v>
      </c>
      <c r="I19" s="56">
        <f t="shared" si="3"/>
        <v>-0.14260191781943388</v>
      </c>
      <c r="J19" s="17"/>
      <c r="K19" s="17"/>
    </row>
    <row r="20" spans="1:11" x14ac:dyDescent="0.25">
      <c r="A20" s="57" t="s">
        <v>52</v>
      </c>
      <c r="B20" s="17" t="s">
        <v>54</v>
      </c>
      <c r="C20" s="61">
        <v>0</v>
      </c>
      <c r="D20" s="61">
        <v>0</v>
      </c>
      <c r="E20" s="63">
        <v>0</v>
      </c>
      <c r="F20" s="63">
        <v>0</v>
      </c>
      <c r="G20" s="149">
        <f>'Data Worksheet for FY 1718'!G18</f>
        <v>3470</v>
      </c>
      <c r="H20" s="64">
        <f t="shared" si="2"/>
        <v>3470</v>
      </c>
      <c r="I20" s="56" t="e">
        <f t="shared" si="3"/>
        <v>#DIV/0!</v>
      </c>
      <c r="J20" s="17"/>
      <c r="K20" s="17"/>
    </row>
    <row r="21" spans="1:11" x14ac:dyDescent="0.25">
      <c r="A21" s="57" t="s">
        <v>53</v>
      </c>
      <c r="B21" s="17" t="s">
        <v>35</v>
      </c>
      <c r="C21" s="61">
        <v>250850</v>
      </c>
      <c r="D21" s="61">
        <v>92500</v>
      </c>
      <c r="E21" s="63">
        <v>92500</v>
      </c>
      <c r="F21" s="63">
        <v>92500</v>
      </c>
      <c r="G21" s="149">
        <f>'Data Worksheet for FY 1718'!G19</f>
        <v>191261</v>
      </c>
      <c r="H21" s="64">
        <f t="shared" si="2"/>
        <v>98761</v>
      </c>
      <c r="I21" s="56">
        <f t="shared" si="3"/>
        <v>1.0676864864864866</v>
      </c>
      <c r="J21" s="17"/>
      <c r="K21" s="17"/>
    </row>
    <row r="22" spans="1:11" x14ac:dyDescent="0.25">
      <c r="A22" s="57" t="s">
        <v>23</v>
      </c>
      <c r="B22" s="17" t="s">
        <v>31</v>
      </c>
      <c r="C22" s="62">
        <v>1079033</v>
      </c>
      <c r="D22" s="61">
        <v>1164926</v>
      </c>
      <c r="E22" s="63">
        <v>1091980</v>
      </c>
      <c r="F22" s="63">
        <v>1090965</v>
      </c>
      <c r="G22" s="149">
        <f>'Data Worksheet for FY 1718'!G20</f>
        <v>1057554</v>
      </c>
      <c r="H22" s="64">
        <f t="shared" si="2"/>
        <v>-33411</v>
      </c>
      <c r="I22" s="56">
        <f t="shared" si="3"/>
        <v>-3.0625180459501449E-2</v>
      </c>
      <c r="J22" s="17"/>
      <c r="K22" s="17"/>
    </row>
    <row r="23" spans="1:11" x14ac:dyDescent="0.25">
      <c r="A23" s="57" t="s">
        <v>24</v>
      </c>
      <c r="B23" s="17" t="s">
        <v>47</v>
      </c>
      <c r="C23" s="61">
        <v>402717</v>
      </c>
      <c r="D23" s="61">
        <v>443945</v>
      </c>
      <c r="E23" s="63">
        <v>434422</v>
      </c>
      <c r="F23" s="135">
        <v>368018</v>
      </c>
      <c r="G23" s="149">
        <f>'Data Worksheet for FY 1718'!G21</f>
        <v>434968</v>
      </c>
      <c r="H23" s="64">
        <f t="shared" si="2"/>
        <v>66950</v>
      </c>
      <c r="I23" s="56">
        <f t="shared" si="3"/>
        <v>0.18192044954322886</v>
      </c>
      <c r="J23" s="17"/>
      <c r="K23" s="17"/>
    </row>
    <row r="24" spans="1:11" x14ac:dyDescent="0.25">
      <c r="A24" s="57" t="s">
        <v>25</v>
      </c>
      <c r="B24" s="17" t="s">
        <v>26</v>
      </c>
      <c r="C24" s="61">
        <v>4600</v>
      </c>
      <c r="D24" s="61">
        <v>1500</v>
      </c>
      <c r="E24" s="63">
        <v>1500</v>
      </c>
      <c r="F24" s="63">
        <v>1500</v>
      </c>
      <c r="G24" s="149">
        <f>'Data Worksheet for FY 1718'!G22</f>
        <v>2525</v>
      </c>
      <c r="H24" s="64">
        <f t="shared" si="2"/>
        <v>1025</v>
      </c>
      <c r="I24" s="56">
        <f t="shared" si="3"/>
        <v>0.68333333333333335</v>
      </c>
      <c r="J24" s="17"/>
      <c r="K24" s="17"/>
    </row>
    <row r="25" spans="1:11" x14ac:dyDescent="0.25">
      <c r="A25" s="57" t="s">
        <v>27</v>
      </c>
      <c r="B25" s="17" t="s">
        <v>28</v>
      </c>
      <c r="C25" s="61">
        <v>103000</v>
      </c>
      <c r="D25" s="61">
        <v>3000</v>
      </c>
      <c r="E25" s="63">
        <v>384916</v>
      </c>
      <c r="F25" s="63">
        <v>183097</v>
      </c>
      <c r="G25" s="149">
        <f>'Data Worksheet for FY 1718'!G23</f>
        <v>9427</v>
      </c>
      <c r="H25" s="64">
        <f t="shared" si="2"/>
        <v>-173670</v>
      </c>
      <c r="I25" s="56">
        <f t="shared" si="3"/>
        <v>-0.94851362938770156</v>
      </c>
      <c r="J25" s="17"/>
      <c r="K25" s="17"/>
    </row>
    <row r="26" spans="1:11" x14ac:dyDescent="0.25">
      <c r="A26" s="57" t="s">
        <v>29</v>
      </c>
      <c r="B26" s="17" t="s">
        <v>30</v>
      </c>
      <c r="C26" s="61">
        <v>0</v>
      </c>
      <c r="D26" s="61">
        <v>0</v>
      </c>
      <c r="E26" s="63">
        <v>0</v>
      </c>
      <c r="F26" s="63">
        <v>0</v>
      </c>
      <c r="G26" s="149">
        <f>'Data Worksheet for FY 1718'!G24</f>
        <v>0</v>
      </c>
      <c r="H26" s="64">
        <f t="shared" si="2"/>
        <v>0</v>
      </c>
      <c r="I26" s="56">
        <v>0</v>
      </c>
      <c r="J26" s="17"/>
      <c r="K26" s="17"/>
    </row>
    <row r="27" spans="1:11" s="17" customFormat="1" x14ac:dyDescent="0.25">
      <c r="A27" s="57" t="s">
        <v>121</v>
      </c>
      <c r="B27" s="17" t="s">
        <v>46</v>
      </c>
      <c r="C27" s="61">
        <v>0</v>
      </c>
      <c r="D27" s="63">
        <v>152454</v>
      </c>
      <c r="E27" s="63">
        <v>0</v>
      </c>
      <c r="F27" s="63">
        <v>0</v>
      </c>
      <c r="G27" s="149">
        <f>'Data Worksheet for FY 1718'!G25</f>
        <v>0</v>
      </c>
      <c r="H27" s="64">
        <f t="shared" si="2"/>
        <v>0</v>
      </c>
      <c r="I27" s="56">
        <v>0</v>
      </c>
    </row>
    <row r="28" spans="1:11" s="17" customFormat="1" x14ac:dyDescent="0.25">
      <c r="A28" s="151" t="s">
        <v>77</v>
      </c>
      <c r="B28" s="17" t="s">
        <v>76</v>
      </c>
      <c r="C28" s="62">
        <v>356150</v>
      </c>
      <c r="D28" s="62">
        <v>253710</v>
      </c>
      <c r="E28" s="79">
        <v>0</v>
      </c>
      <c r="F28" s="79">
        <v>216722</v>
      </c>
      <c r="G28" s="149">
        <f>'Data Worksheet for FY 1718'!G26</f>
        <v>235381</v>
      </c>
      <c r="H28" s="64">
        <f t="shared" si="2"/>
        <v>18659</v>
      </c>
      <c r="I28" s="56">
        <f t="shared" si="3"/>
        <v>8.6096473823608119E-2</v>
      </c>
    </row>
    <row r="29" spans="1:11" x14ac:dyDescent="0.25">
      <c r="A29" s="9" t="s">
        <v>12</v>
      </c>
      <c r="B29" s="9"/>
      <c r="C29" s="21">
        <f>C12</f>
        <v>5593616</v>
      </c>
      <c r="D29" s="21">
        <v>5075096</v>
      </c>
      <c r="E29" s="58">
        <v>4965517</v>
      </c>
      <c r="F29" s="58">
        <f>SUM(F15:F28)</f>
        <v>4588583</v>
      </c>
      <c r="G29" s="42">
        <f>SUM(G15:G28)</f>
        <v>3878929.07</v>
      </c>
      <c r="H29" s="42">
        <f>SUM(H15:H28)</f>
        <v>-709653.93</v>
      </c>
      <c r="I29" s="56">
        <f t="shared" si="3"/>
        <v>-0.15465644404819529</v>
      </c>
      <c r="J29" s="17"/>
    </row>
    <row r="30" spans="1:11" s="17" customFormat="1" hidden="1" x14ac:dyDescent="0.25">
      <c r="A30" s="12"/>
      <c r="B30" s="50" t="s">
        <v>48</v>
      </c>
      <c r="C30" s="51">
        <f>SUM(C15:C28)</f>
        <v>5593616</v>
      </c>
      <c r="D30" s="51">
        <f>SUM(D15:D28)</f>
        <v>5075096</v>
      </c>
      <c r="E30" s="80">
        <f>SUM(E15:E28)</f>
        <v>4965517</v>
      </c>
      <c r="F30" s="80">
        <f>SUM(F15:F28)</f>
        <v>4588583</v>
      </c>
      <c r="G30" s="51">
        <f>SUM(G15:G28)</f>
        <v>3878929.07</v>
      </c>
      <c r="H30" s="80"/>
    </row>
    <row r="31" spans="1:11" s="17" customFormat="1" hidden="1" x14ac:dyDescent="0.25">
      <c r="A31" s="12"/>
      <c r="B31" s="50" t="s">
        <v>49</v>
      </c>
      <c r="C31" s="51">
        <f>C29-C30</f>
        <v>0</v>
      </c>
      <c r="D31" s="51">
        <f>D29-D30</f>
        <v>0</v>
      </c>
      <c r="E31" s="80">
        <f>E29-E30</f>
        <v>0</v>
      </c>
      <c r="F31" s="80">
        <f>F29-F30</f>
        <v>0</v>
      </c>
      <c r="G31" s="51">
        <f>G29-G30</f>
        <v>0</v>
      </c>
      <c r="H31" s="80"/>
    </row>
    <row r="32" spans="1:11" x14ac:dyDescent="0.25">
      <c r="E32" s="13"/>
      <c r="F32" s="13"/>
      <c r="I32" s="5">
        <f>I12</f>
        <v>-0.15465644404819529</v>
      </c>
      <c r="J32" s="5"/>
    </row>
    <row r="33" spans="9:10" x14ac:dyDescent="0.25">
      <c r="I33" s="17"/>
      <c r="J33" s="45"/>
    </row>
  </sheetData>
  <printOptions horizontalCentered="1"/>
  <pageMargins left="0.25" right="0.25" top="0.75" bottom="0.75" header="0.3" footer="0.3"/>
  <pageSetup scale="7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3"/>
  <sheetViews>
    <sheetView topLeftCell="A34" zoomScale="90" zoomScaleNormal="90" workbookViewId="0">
      <selection activeCell="D87" sqref="D87"/>
    </sheetView>
  </sheetViews>
  <sheetFormatPr defaultColWidth="9.140625" defaultRowHeight="15" x14ac:dyDescent="0.25"/>
  <cols>
    <col min="1" max="1" width="40.7109375" style="23" customWidth="1"/>
    <col min="2" max="2" width="20.7109375" style="23" customWidth="1"/>
    <col min="3" max="3" width="25.7109375" style="23" hidden="1" customWidth="1"/>
    <col min="4" max="7" width="25.7109375" style="23" customWidth="1"/>
    <col min="8" max="8" width="12.7109375" style="23" bestFit="1" customWidth="1"/>
    <col min="9" max="9" width="12.7109375" style="23" customWidth="1"/>
    <col min="10" max="10" width="11.5703125" style="23" bestFit="1" customWidth="1"/>
    <col min="11" max="16384" width="9.140625" style="23"/>
  </cols>
  <sheetData>
    <row r="1" spans="1:10" s="24" customFormat="1" ht="58.5" customHeight="1" x14ac:dyDescent="0.2">
      <c r="A1" s="43" t="s">
        <v>146</v>
      </c>
      <c r="B1" s="44"/>
      <c r="C1" s="44"/>
      <c r="D1" s="44"/>
      <c r="F1" s="113"/>
      <c r="G1" s="44"/>
    </row>
    <row r="2" spans="1:10" s="24" customFormat="1" ht="18" x14ac:dyDescent="0.2">
      <c r="A2" s="116" t="str">
        <f>Summary!A2</f>
        <v>PROPOSED FISCAL YEAR 2017-2018  OPERATING BUDGET</v>
      </c>
      <c r="B2" s="114"/>
      <c r="C2" s="114"/>
      <c r="D2" s="114"/>
      <c r="E2" s="114"/>
      <c r="F2" s="114"/>
      <c r="G2" s="114"/>
    </row>
    <row r="3" spans="1:10" s="17" customFormat="1" ht="15.75" x14ac:dyDescent="0.25">
      <c r="G3" s="3"/>
    </row>
    <row r="4" spans="1:10" s="13" customFormat="1" ht="15.75" x14ac:dyDescent="0.25">
      <c r="A4" s="60" t="s">
        <v>85</v>
      </c>
      <c r="B4" s="60"/>
      <c r="C4" s="49"/>
      <c r="D4" s="49"/>
      <c r="E4" s="49"/>
      <c r="F4" s="49"/>
      <c r="G4" s="121"/>
    </row>
    <row r="5" spans="1:10" s="120" customFormat="1" ht="15.75" x14ac:dyDescent="0.25">
      <c r="A5" s="9" t="s">
        <v>1</v>
      </c>
      <c r="B5" s="9" t="s">
        <v>3</v>
      </c>
      <c r="C5" s="47" t="s">
        <v>41</v>
      </c>
      <c r="D5" s="48" t="s">
        <v>80</v>
      </c>
      <c r="E5" s="78" t="s">
        <v>93</v>
      </c>
      <c r="F5" s="78" t="s">
        <v>124</v>
      </c>
      <c r="G5" s="158" t="s">
        <v>145</v>
      </c>
      <c r="H5" s="159" t="s">
        <v>138</v>
      </c>
      <c r="I5" s="161" t="s">
        <v>139</v>
      </c>
      <c r="J5" s="10"/>
    </row>
    <row r="6" spans="1:10" ht="15.75" x14ac:dyDescent="0.25">
      <c r="A6" s="145" t="s">
        <v>0</v>
      </c>
      <c r="B6" s="17" t="s">
        <v>2</v>
      </c>
      <c r="C6" s="15">
        <v>456396</v>
      </c>
      <c r="D6" s="137">
        <v>384843</v>
      </c>
      <c r="E6" s="140">
        <v>328750</v>
      </c>
      <c r="F6" s="140">
        <v>400457</v>
      </c>
      <c r="G6" s="148">
        <f>'Data Worksheet for FY 1718'!H3</f>
        <v>403461</v>
      </c>
      <c r="H6" s="163">
        <f>G6-F6</f>
        <v>3004</v>
      </c>
      <c r="I6" s="56">
        <f>H6/F6</f>
        <v>7.5014296166629624E-3</v>
      </c>
      <c r="J6" s="17"/>
    </row>
    <row r="7" spans="1:10" ht="15.75" x14ac:dyDescent="0.25">
      <c r="A7" s="57" t="s">
        <v>4</v>
      </c>
      <c r="B7" s="17" t="s">
        <v>5</v>
      </c>
      <c r="C7" s="15">
        <v>95568</v>
      </c>
      <c r="D7" s="138">
        <v>102635</v>
      </c>
      <c r="E7" s="135">
        <v>102635</v>
      </c>
      <c r="F7" s="135">
        <v>188776</v>
      </c>
      <c r="G7" s="149">
        <f>'Data Worksheet for FY 1718'!H4</f>
        <v>239636</v>
      </c>
      <c r="H7" s="163">
        <f t="shared" ref="H7:H13" si="0">G7-F7</f>
        <v>50860</v>
      </c>
      <c r="I7" s="56">
        <f t="shared" ref="I7:I13" si="1">H7/F7</f>
        <v>0.26941984150527609</v>
      </c>
      <c r="J7" s="17"/>
    </row>
    <row r="8" spans="1:10" ht="15.75" x14ac:dyDescent="0.25">
      <c r="A8" s="57" t="s">
        <v>6</v>
      </c>
      <c r="B8" s="17" t="s">
        <v>7</v>
      </c>
      <c r="C8" s="22">
        <v>0</v>
      </c>
      <c r="D8" s="138">
        <v>0</v>
      </c>
      <c r="E8" s="135">
        <v>0</v>
      </c>
      <c r="F8" s="135">
        <v>0</v>
      </c>
      <c r="G8" s="149">
        <f>'Data Worksheet for FY 1718'!H5</f>
        <v>0</v>
      </c>
      <c r="H8" s="163">
        <f t="shared" si="0"/>
        <v>0</v>
      </c>
      <c r="I8" s="56" t="e">
        <f t="shared" si="1"/>
        <v>#DIV/0!</v>
      </c>
      <c r="J8" s="17"/>
    </row>
    <row r="9" spans="1:10" ht="15.75" x14ac:dyDescent="0.25">
      <c r="A9" s="57" t="s">
        <v>8</v>
      </c>
      <c r="B9" s="17" t="s">
        <v>9</v>
      </c>
      <c r="C9" s="15">
        <v>3481700</v>
      </c>
      <c r="D9" s="138">
        <v>2965384</v>
      </c>
      <c r="E9" s="135">
        <v>2910045</v>
      </c>
      <c r="F9" s="135">
        <v>3023357</v>
      </c>
      <c r="G9" s="149">
        <f>'Data Worksheet for FY 1718'!H6</f>
        <v>3008357</v>
      </c>
      <c r="H9" s="163">
        <f t="shared" si="0"/>
        <v>-15000</v>
      </c>
      <c r="I9" s="56">
        <f t="shared" si="1"/>
        <v>-4.9613724082203988E-3</v>
      </c>
      <c r="J9" s="17"/>
    </row>
    <row r="10" spans="1:10" ht="15.75" x14ac:dyDescent="0.25">
      <c r="A10" s="57" t="s">
        <v>122</v>
      </c>
      <c r="B10" s="17" t="s">
        <v>11</v>
      </c>
      <c r="C10" s="15">
        <v>756</v>
      </c>
      <c r="D10" s="138">
        <v>57326</v>
      </c>
      <c r="E10" s="135">
        <v>57326</v>
      </c>
      <c r="F10" s="135">
        <v>58000</v>
      </c>
      <c r="G10" s="149">
        <f>'Data Worksheet for FY 1718'!H7</f>
        <v>59600</v>
      </c>
      <c r="H10" s="163">
        <f t="shared" si="0"/>
        <v>1600</v>
      </c>
      <c r="I10" s="56">
        <f t="shared" si="1"/>
        <v>2.7586206896551724E-2</v>
      </c>
      <c r="J10" s="17"/>
    </row>
    <row r="11" spans="1:10" ht="15.75" x14ac:dyDescent="0.25">
      <c r="A11" s="57" t="s">
        <v>120</v>
      </c>
      <c r="B11" s="17" t="s">
        <v>39</v>
      </c>
      <c r="C11" s="15">
        <v>558122</v>
      </c>
      <c r="D11" s="138">
        <v>112018</v>
      </c>
      <c r="E11" s="135">
        <v>120533</v>
      </c>
      <c r="F11" s="135">
        <v>0</v>
      </c>
      <c r="G11" s="149">
        <f>'Data Worksheet for FY 1718'!H8</f>
        <v>0</v>
      </c>
      <c r="H11" s="163">
        <f t="shared" si="0"/>
        <v>0</v>
      </c>
      <c r="I11" s="56" t="e">
        <f t="shared" si="1"/>
        <v>#DIV/0!</v>
      </c>
      <c r="J11" s="17"/>
    </row>
    <row r="12" spans="1:10" ht="15.75" hidden="1" x14ac:dyDescent="0.25">
      <c r="A12" s="17" t="s">
        <v>38</v>
      </c>
      <c r="B12" s="17"/>
      <c r="C12" s="15">
        <v>0</v>
      </c>
      <c r="D12" s="3">
        <v>0</v>
      </c>
      <c r="E12" s="37">
        <v>0</v>
      </c>
      <c r="F12" s="37">
        <v>0</v>
      </c>
      <c r="G12" s="40">
        <f>'Data Worksheet for FY 1718'!H9</f>
        <v>0</v>
      </c>
      <c r="H12" s="40">
        <f>'Data Worksheet for FY 1718'!I9</f>
        <v>0</v>
      </c>
      <c r="I12" s="56" t="e">
        <f t="shared" si="1"/>
        <v>#DIV/0!</v>
      </c>
      <c r="J12" s="17"/>
    </row>
    <row r="13" spans="1:10" ht="15.75" x14ac:dyDescent="0.25">
      <c r="A13" s="9" t="s">
        <v>12</v>
      </c>
      <c r="B13" s="9"/>
      <c r="C13" s="21">
        <f>SUM(C6:C12)</f>
        <v>4592542</v>
      </c>
      <c r="D13" s="20">
        <v>3622206</v>
      </c>
      <c r="E13" s="77">
        <v>3519289</v>
      </c>
      <c r="F13" s="77">
        <v>3670590</v>
      </c>
      <c r="G13" s="39">
        <f>SUM(G6:G12)</f>
        <v>3711054</v>
      </c>
      <c r="H13" s="163">
        <f t="shared" si="0"/>
        <v>40464</v>
      </c>
      <c r="I13" s="56">
        <f t="shared" si="1"/>
        <v>1.1023840853922667E-2</v>
      </c>
      <c r="J13" s="5"/>
    </row>
    <row r="14" spans="1:10" ht="10.5" customHeight="1" x14ac:dyDescent="0.25">
      <c r="A14" s="17"/>
      <c r="B14" s="17"/>
      <c r="C14" s="17"/>
      <c r="D14" s="17"/>
      <c r="E14" s="13"/>
      <c r="F14" s="13"/>
      <c r="G14" s="13"/>
      <c r="H14" s="17"/>
      <c r="I14" s="17"/>
      <c r="J14" s="45"/>
    </row>
    <row r="15" spans="1:10" ht="15.75" x14ac:dyDescent="0.25">
      <c r="A15" s="2" t="s">
        <v>13</v>
      </c>
      <c r="B15" s="2"/>
      <c r="C15" s="19" t="s">
        <v>41</v>
      </c>
      <c r="D15" s="48" t="s">
        <v>80</v>
      </c>
      <c r="E15" s="78" t="s">
        <v>93</v>
      </c>
      <c r="F15" s="78" t="s">
        <v>124</v>
      </c>
      <c r="G15" s="158" t="s">
        <v>145</v>
      </c>
      <c r="H15" s="163" t="s">
        <v>33</v>
      </c>
      <c r="I15" s="56" t="s">
        <v>33</v>
      </c>
      <c r="J15" s="17"/>
    </row>
    <row r="16" spans="1:10" ht="15.75" x14ac:dyDescent="0.25">
      <c r="A16" s="145" t="s">
        <v>14</v>
      </c>
      <c r="B16" s="17" t="s">
        <v>15</v>
      </c>
      <c r="C16" s="63">
        <v>0</v>
      </c>
      <c r="D16" s="63">
        <v>119217</v>
      </c>
      <c r="E16" s="63">
        <v>119217</v>
      </c>
      <c r="F16" s="63">
        <v>124003</v>
      </c>
      <c r="G16" s="148">
        <f>'Data Worksheet for FY 1718'!H13</f>
        <v>126483</v>
      </c>
      <c r="H16" s="163">
        <f t="shared" ref="H16:H30" si="2">G16-F16</f>
        <v>2480</v>
      </c>
      <c r="I16" s="56">
        <f t="shared" ref="I16:I30" si="3">H16/F16</f>
        <v>1.999951614073853E-2</v>
      </c>
      <c r="J16" s="17"/>
    </row>
    <row r="17" spans="1:10" ht="15.75" x14ac:dyDescent="0.25">
      <c r="A17" s="57" t="s">
        <v>16</v>
      </c>
      <c r="B17" s="17" t="s">
        <v>17</v>
      </c>
      <c r="C17" s="63">
        <v>112883</v>
      </c>
      <c r="D17" s="63">
        <v>127233</v>
      </c>
      <c r="E17" s="63">
        <v>56227</v>
      </c>
      <c r="F17" s="63">
        <v>118892</v>
      </c>
      <c r="G17" s="149">
        <f>'Data Worksheet for FY 1718'!H14</f>
        <v>118566</v>
      </c>
      <c r="H17" s="163">
        <f t="shared" si="2"/>
        <v>-326</v>
      </c>
      <c r="I17" s="56">
        <f t="shared" si="3"/>
        <v>-2.7419843219055949E-3</v>
      </c>
      <c r="J17" s="17"/>
    </row>
    <row r="18" spans="1:10" ht="15.75" x14ac:dyDescent="0.25">
      <c r="A18" s="57" t="s">
        <v>18</v>
      </c>
      <c r="B18" s="17" t="s">
        <v>19</v>
      </c>
      <c r="C18" s="61">
        <v>58609</v>
      </c>
      <c r="D18" s="61">
        <v>0</v>
      </c>
      <c r="E18" s="63">
        <v>0</v>
      </c>
      <c r="F18" s="63">
        <v>7400</v>
      </c>
      <c r="G18" s="149">
        <f>'Data Worksheet for FY 1718'!H15</f>
        <v>23056</v>
      </c>
      <c r="H18" s="163">
        <f t="shared" si="2"/>
        <v>15656</v>
      </c>
      <c r="I18" s="56">
        <f t="shared" si="3"/>
        <v>2.1156756756756758</v>
      </c>
      <c r="J18" s="17"/>
    </row>
    <row r="19" spans="1:10" ht="15.75" x14ac:dyDescent="0.25">
      <c r="A19" s="57" t="s">
        <v>20</v>
      </c>
      <c r="B19" s="17" t="s">
        <v>36</v>
      </c>
      <c r="C19" s="61">
        <v>134580</v>
      </c>
      <c r="D19" s="61">
        <v>275749</v>
      </c>
      <c r="E19" s="63">
        <v>225552</v>
      </c>
      <c r="F19" s="63">
        <v>0</v>
      </c>
      <c r="G19" s="149">
        <f>'Data Worksheet for FY 1718'!H16</f>
        <v>0</v>
      </c>
      <c r="H19" s="163">
        <f t="shared" si="2"/>
        <v>0</v>
      </c>
      <c r="I19" s="56">
        <v>0</v>
      </c>
      <c r="J19" s="17"/>
    </row>
    <row r="20" spans="1:10" ht="15.75" x14ac:dyDescent="0.25">
      <c r="A20" s="57" t="s">
        <v>21</v>
      </c>
      <c r="B20" s="17" t="s">
        <v>22</v>
      </c>
      <c r="C20" s="61">
        <v>110145</v>
      </c>
      <c r="D20" s="61">
        <v>316346</v>
      </c>
      <c r="E20" s="63">
        <v>296815</v>
      </c>
      <c r="F20" s="63">
        <v>26214</v>
      </c>
      <c r="G20" s="149">
        <f>'Data Worksheet for FY 1718'!H17</f>
        <v>26738</v>
      </c>
      <c r="H20" s="163">
        <f t="shared" si="2"/>
        <v>524</v>
      </c>
      <c r="I20" s="56">
        <f t="shared" si="3"/>
        <v>1.9989318684672311E-2</v>
      </c>
      <c r="J20" s="17"/>
    </row>
    <row r="21" spans="1:10" ht="15.75" x14ac:dyDescent="0.25">
      <c r="A21" s="57" t="s">
        <v>52</v>
      </c>
      <c r="B21" s="17" t="s">
        <v>54</v>
      </c>
      <c r="C21" s="61">
        <v>0</v>
      </c>
      <c r="D21" s="61">
        <v>0</v>
      </c>
      <c r="E21" s="63">
        <v>0</v>
      </c>
      <c r="F21" s="63">
        <v>0</v>
      </c>
      <c r="G21" s="149">
        <f>'Data Worksheet for FY 1718'!H18</f>
        <v>0</v>
      </c>
      <c r="H21" s="163">
        <f t="shared" si="2"/>
        <v>0</v>
      </c>
      <c r="I21" s="56">
        <v>0</v>
      </c>
      <c r="J21" s="17"/>
    </row>
    <row r="22" spans="1:10" ht="15.75" x14ac:dyDescent="0.25">
      <c r="A22" s="57" t="s">
        <v>53</v>
      </c>
      <c r="B22" s="17" t="s">
        <v>35</v>
      </c>
      <c r="C22" s="61">
        <v>271220</v>
      </c>
      <c r="D22" s="61">
        <v>208098</v>
      </c>
      <c r="E22" s="63">
        <v>208098</v>
      </c>
      <c r="F22" s="63">
        <v>327500</v>
      </c>
      <c r="G22" s="149">
        <f>'Data Worksheet for FY 1718'!H19</f>
        <v>313000</v>
      </c>
      <c r="H22" s="163">
        <f t="shared" si="2"/>
        <v>-14500</v>
      </c>
      <c r="I22" s="56">
        <f t="shared" si="3"/>
        <v>-4.4274809160305344E-2</v>
      </c>
      <c r="J22" s="17"/>
    </row>
    <row r="23" spans="1:10" ht="15.75" x14ac:dyDescent="0.25">
      <c r="A23" s="57" t="s">
        <v>23</v>
      </c>
      <c r="B23" s="17" t="s">
        <v>31</v>
      </c>
      <c r="C23" s="62">
        <v>580781</v>
      </c>
      <c r="D23" s="61">
        <v>477610</v>
      </c>
      <c r="E23" s="63">
        <v>481593</v>
      </c>
      <c r="F23" s="135">
        <v>425008</v>
      </c>
      <c r="G23" s="149">
        <f>'Data Worksheet for FY 1718'!H20</f>
        <v>694527</v>
      </c>
      <c r="H23" s="163">
        <f t="shared" si="2"/>
        <v>269519</v>
      </c>
      <c r="I23" s="56">
        <f t="shared" si="3"/>
        <v>0.63415041599216959</v>
      </c>
      <c r="J23" s="17"/>
    </row>
    <row r="24" spans="1:10" ht="15.75" x14ac:dyDescent="0.25">
      <c r="A24" s="57" t="s">
        <v>24</v>
      </c>
      <c r="B24" s="17" t="s">
        <v>47</v>
      </c>
      <c r="C24" s="61">
        <v>2395183</v>
      </c>
      <c r="D24" s="61">
        <v>1524963</v>
      </c>
      <c r="E24" s="63">
        <v>2005780</v>
      </c>
      <c r="F24" s="63">
        <v>2244175</v>
      </c>
      <c r="G24" s="149">
        <f>'Data Worksheet for FY 1718'!H21</f>
        <v>2084541</v>
      </c>
      <c r="H24" s="163">
        <f t="shared" si="2"/>
        <v>-159634</v>
      </c>
      <c r="I24" s="56">
        <f t="shared" si="3"/>
        <v>-7.113259883921709E-2</v>
      </c>
      <c r="J24" s="17"/>
    </row>
    <row r="25" spans="1:10" ht="15.75" x14ac:dyDescent="0.25">
      <c r="A25" s="57" t="s">
        <v>25</v>
      </c>
      <c r="B25" s="17" t="s">
        <v>26</v>
      </c>
      <c r="C25" s="61">
        <v>19227</v>
      </c>
      <c r="D25" s="61">
        <v>39172</v>
      </c>
      <c r="E25" s="63">
        <v>37227</v>
      </c>
      <c r="F25" s="63">
        <v>24477</v>
      </c>
      <c r="G25" s="149">
        <f>'Data Worksheet for FY 1718'!H22</f>
        <v>24477</v>
      </c>
      <c r="H25" s="163">
        <f t="shared" si="2"/>
        <v>0</v>
      </c>
      <c r="I25" s="56">
        <f t="shared" si="3"/>
        <v>0</v>
      </c>
      <c r="J25" s="17"/>
    </row>
    <row r="26" spans="1:10" ht="15.75" x14ac:dyDescent="0.25">
      <c r="A26" s="57" t="s">
        <v>27</v>
      </c>
      <c r="B26" s="17" t="s">
        <v>28</v>
      </c>
      <c r="C26" s="61">
        <v>257952</v>
      </c>
      <c r="D26" s="61">
        <v>165800</v>
      </c>
      <c r="E26" s="63">
        <v>82780</v>
      </c>
      <c r="F26" s="63">
        <v>345421</v>
      </c>
      <c r="G26" s="149">
        <f>'Data Worksheet for FY 1718'!H23</f>
        <v>272166</v>
      </c>
      <c r="H26" s="163">
        <f t="shared" si="2"/>
        <v>-73255</v>
      </c>
      <c r="I26" s="56">
        <f t="shared" si="3"/>
        <v>-0.21207454092252642</v>
      </c>
      <c r="J26" s="17"/>
    </row>
    <row r="27" spans="1:10" ht="15.75" x14ac:dyDescent="0.25">
      <c r="A27" s="57" t="s">
        <v>29</v>
      </c>
      <c r="B27" s="17" t="s">
        <v>30</v>
      </c>
      <c r="C27" s="61">
        <v>27250</v>
      </c>
      <c r="D27" s="61">
        <v>106000</v>
      </c>
      <c r="E27" s="63">
        <v>6000</v>
      </c>
      <c r="F27" s="63">
        <v>27500</v>
      </c>
      <c r="G27" s="149">
        <f>'Data Worksheet for FY 1718'!H24</f>
        <v>27500</v>
      </c>
      <c r="H27" s="163">
        <f t="shared" si="2"/>
        <v>0</v>
      </c>
      <c r="I27" s="56">
        <f t="shared" si="3"/>
        <v>0</v>
      </c>
      <c r="J27" s="17"/>
    </row>
    <row r="28" spans="1:10" ht="15.75" x14ac:dyDescent="0.25">
      <c r="A28" s="57" t="s">
        <v>121</v>
      </c>
      <c r="B28" s="17" t="s">
        <v>46</v>
      </c>
      <c r="C28" s="61">
        <v>558122</v>
      </c>
      <c r="D28" s="61">
        <v>262018</v>
      </c>
      <c r="E28" s="63">
        <v>0</v>
      </c>
      <c r="F28" s="63">
        <v>0</v>
      </c>
      <c r="G28" s="149">
        <f>'Data Worksheet for FY 1718'!H25</f>
        <v>0</v>
      </c>
      <c r="H28" s="163">
        <f t="shared" si="2"/>
        <v>0</v>
      </c>
      <c r="I28" s="56">
        <v>0</v>
      </c>
      <c r="J28" s="17"/>
    </row>
    <row r="29" spans="1:10" ht="15.75" x14ac:dyDescent="0.25">
      <c r="A29" s="151" t="s">
        <v>77</v>
      </c>
      <c r="B29" s="17" t="s">
        <v>76</v>
      </c>
      <c r="C29" s="62">
        <v>66590</v>
      </c>
      <c r="D29" s="62">
        <v>0</v>
      </c>
      <c r="E29" s="79">
        <v>0</v>
      </c>
      <c r="F29" s="63">
        <v>0</v>
      </c>
      <c r="G29" s="150" t="s">
        <v>141</v>
      </c>
      <c r="H29" s="163">
        <v>0</v>
      </c>
      <c r="I29" s="56">
        <v>0</v>
      </c>
      <c r="J29" s="17"/>
    </row>
    <row r="30" spans="1:10" ht="15.75" x14ac:dyDescent="0.25">
      <c r="A30" s="9" t="s">
        <v>12</v>
      </c>
      <c r="B30" s="9"/>
      <c r="C30" s="21">
        <f t="shared" ref="C30" si="4">C13</f>
        <v>4592542</v>
      </c>
      <c r="D30" s="21">
        <v>3622206</v>
      </c>
      <c r="E30" s="58">
        <v>3519289</v>
      </c>
      <c r="F30" s="58">
        <v>3670590</v>
      </c>
      <c r="G30" s="42">
        <f>SUM(G16:G28)</f>
        <v>3711054</v>
      </c>
      <c r="H30" s="163">
        <f t="shared" si="2"/>
        <v>40464</v>
      </c>
      <c r="I30" s="56">
        <f t="shared" si="3"/>
        <v>1.1023840853922667E-2</v>
      </c>
      <c r="J30" s="5"/>
    </row>
    <row r="31" spans="1:10" ht="15.75" hidden="1" x14ac:dyDescent="0.25">
      <c r="A31" s="46"/>
      <c r="B31" s="50" t="s">
        <v>48</v>
      </c>
      <c r="C31" s="51">
        <f>SUM(C16:C29)</f>
        <v>4592542</v>
      </c>
      <c r="D31" s="51">
        <f>SUM(D16:D29)</f>
        <v>3622206</v>
      </c>
      <c r="E31" s="80">
        <f>SUM(E16:E29)</f>
        <v>3519289</v>
      </c>
      <c r="F31" s="80">
        <f>SUM(F16:F29)</f>
        <v>3670590</v>
      </c>
      <c r="G31" s="51">
        <f>SUM(G16:G28)</f>
        <v>3711054</v>
      </c>
      <c r="H31" s="5"/>
      <c r="I31" s="5"/>
      <c r="J31" s="5"/>
    </row>
    <row r="32" spans="1:10" ht="15.75" hidden="1" x14ac:dyDescent="0.25">
      <c r="A32" s="46"/>
      <c r="B32" s="50" t="s">
        <v>49</v>
      </c>
      <c r="C32" s="51">
        <f>C30-C31</f>
        <v>0</v>
      </c>
      <c r="D32" s="51">
        <f>D30-D31</f>
        <v>0</v>
      </c>
      <c r="E32" s="80">
        <f>E30-E31</f>
        <v>0</v>
      </c>
      <c r="F32" s="80">
        <f>F30-F31</f>
        <v>0</v>
      </c>
      <c r="G32" s="51">
        <f>G30-G31</f>
        <v>0</v>
      </c>
      <c r="H32" s="5"/>
      <c r="I32" s="5"/>
      <c r="J32" s="5"/>
    </row>
    <row r="33" spans="1:10" ht="15.75" x14ac:dyDescent="0.25">
      <c r="H33" s="17"/>
      <c r="I33" s="17"/>
      <c r="J33" s="45"/>
    </row>
    <row r="47" spans="1:10" ht="15.75" x14ac:dyDescent="0.25">
      <c r="A47" s="60" t="s">
        <v>71</v>
      </c>
      <c r="B47" s="60"/>
      <c r="C47" s="49"/>
      <c r="D47" s="49"/>
      <c r="E47" s="49"/>
      <c r="F47" s="49"/>
      <c r="G47" s="121"/>
      <c r="H47" s="13"/>
      <c r="I47" s="13"/>
    </row>
    <row r="48" spans="1:10" s="120" customFormat="1" ht="15.75" x14ac:dyDescent="0.25">
      <c r="A48" s="9" t="s">
        <v>1</v>
      </c>
      <c r="B48" s="9" t="s">
        <v>3</v>
      </c>
      <c r="C48" s="47" t="s">
        <v>41</v>
      </c>
      <c r="D48" s="48" t="s">
        <v>80</v>
      </c>
      <c r="E48" s="78" t="s">
        <v>93</v>
      </c>
      <c r="F48" s="78" t="s">
        <v>124</v>
      </c>
      <c r="G48" s="158" t="s">
        <v>137</v>
      </c>
      <c r="H48" s="159" t="s">
        <v>138</v>
      </c>
      <c r="I48" s="161" t="s">
        <v>139</v>
      </c>
    </row>
    <row r="49" spans="1:9" ht="15.75" x14ac:dyDescent="0.25">
      <c r="A49" s="17" t="s">
        <v>0</v>
      </c>
      <c r="B49" s="17" t="s">
        <v>2</v>
      </c>
      <c r="C49" s="15">
        <v>0</v>
      </c>
      <c r="D49" s="137">
        <v>0</v>
      </c>
      <c r="E49" s="140">
        <v>0</v>
      </c>
      <c r="F49" s="140">
        <v>0</v>
      </c>
      <c r="G49" s="40">
        <f>'Data Worksheet for FY 1718'!C3</f>
        <v>500000</v>
      </c>
      <c r="H49" s="163">
        <f t="shared" ref="H49:H56" si="5">G49-F49</f>
        <v>500000</v>
      </c>
      <c r="I49" s="56">
        <v>0</v>
      </c>
    </row>
    <row r="50" spans="1:9" ht="15.75" x14ac:dyDescent="0.25">
      <c r="A50" s="17" t="s">
        <v>4</v>
      </c>
      <c r="B50" s="17" t="s">
        <v>5</v>
      </c>
      <c r="C50" s="15">
        <v>92691</v>
      </c>
      <c r="D50" s="138">
        <v>143431</v>
      </c>
      <c r="E50" s="135">
        <v>154790</v>
      </c>
      <c r="F50" s="135">
        <v>157401</v>
      </c>
      <c r="G50" s="40">
        <f>'Data Worksheet for FY 1718'!C4</f>
        <v>162665</v>
      </c>
      <c r="H50" s="163">
        <f t="shared" si="5"/>
        <v>5264</v>
      </c>
      <c r="I50" s="56">
        <f t="shared" ref="I50:I56" si="6">H50/F50</f>
        <v>3.3443243689684307E-2</v>
      </c>
    </row>
    <row r="51" spans="1:9" ht="15.75" x14ac:dyDescent="0.25">
      <c r="A51" s="17" t="s">
        <v>6</v>
      </c>
      <c r="B51" s="17" t="s">
        <v>7</v>
      </c>
      <c r="C51" s="22">
        <v>0</v>
      </c>
      <c r="D51" s="138">
        <v>0</v>
      </c>
      <c r="E51" s="135">
        <v>0</v>
      </c>
      <c r="F51" s="135">
        <v>0</v>
      </c>
      <c r="G51" s="40">
        <f>'Data Worksheet for FY 1718'!C5</f>
        <v>0</v>
      </c>
      <c r="H51" s="163">
        <f t="shared" si="5"/>
        <v>0</v>
      </c>
      <c r="I51" s="56">
        <v>0</v>
      </c>
    </row>
    <row r="52" spans="1:9" ht="15.75" x14ac:dyDescent="0.25">
      <c r="A52" s="17" t="s">
        <v>8</v>
      </c>
      <c r="B52" s="17" t="s">
        <v>9</v>
      </c>
      <c r="C52" s="15">
        <v>5580566</v>
      </c>
      <c r="D52" s="138">
        <v>5659046</v>
      </c>
      <c r="E52" s="135">
        <v>5590664</v>
      </c>
      <c r="F52" s="135">
        <v>8022958</v>
      </c>
      <c r="G52" s="40">
        <f>'Data Worksheet for FY 1718'!C6</f>
        <v>7879433</v>
      </c>
      <c r="H52" s="163">
        <f t="shared" si="5"/>
        <v>-143525</v>
      </c>
      <c r="I52" s="56">
        <f t="shared" si="6"/>
        <v>-1.7889287218006127E-2</v>
      </c>
    </row>
    <row r="53" spans="1:9" ht="15.75" x14ac:dyDescent="0.25">
      <c r="A53" s="17" t="s">
        <v>32</v>
      </c>
      <c r="B53" s="17" t="s">
        <v>11</v>
      </c>
      <c r="C53" s="15">
        <v>90225</v>
      </c>
      <c r="D53" s="138">
        <v>41600</v>
      </c>
      <c r="E53" s="135">
        <v>41600</v>
      </c>
      <c r="F53" s="135">
        <v>41600</v>
      </c>
      <c r="G53" s="40">
        <f>'Data Worksheet for FY 1718'!C7</f>
        <v>128600</v>
      </c>
      <c r="H53" s="163">
        <f t="shared" si="5"/>
        <v>87000</v>
      </c>
      <c r="I53" s="56">
        <f t="shared" si="6"/>
        <v>2.0913461538461537</v>
      </c>
    </row>
    <row r="54" spans="1:9" ht="15.75" x14ac:dyDescent="0.25">
      <c r="A54" s="17" t="s">
        <v>120</v>
      </c>
      <c r="B54" s="17" t="s">
        <v>39</v>
      </c>
      <c r="C54" s="15">
        <v>754221</v>
      </c>
      <c r="D54" s="138">
        <v>358431</v>
      </c>
      <c r="E54" s="135">
        <v>1063066</v>
      </c>
      <c r="F54" s="135">
        <v>35168</v>
      </c>
      <c r="G54" s="40">
        <f>'Data Worksheet for FY 1718'!C8</f>
        <v>0</v>
      </c>
      <c r="H54" s="163">
        <f t="shared" si="5"/>
        <v>-35168</v>
      </c>
      <c r="I54" s="56">
        <f t="shared" si="6"/>
        <v>-1</v>
      </c>
    </row>
    <row r="55" spans="1:9" ht="15.75" hidden="1" x14ac:dyDescent="0.25">
      <c r="A55" s="17" t="s">
        <v>38</v>
      </c>
      <c r="B55" s="17"/>
      <c r="C55" s="15">
        <v>0</v>
      </c>
      <c r="D55" s="3">
        <v>0</v>
      </c>
      <c r="E55" s="37">
        <v>0</v>
      </c>
      <c r="F55" s="37">
        <v>0</v>
      </c>
      <c r="G55" s="40">
        <f>'Data Worksheet for FY 1718'!C9</f>
        <v>0</v>
      </c>
      <c r="H55" s="163">
        <f t="shared" si="5"/>
        <v>0</v>
      </c>
      <c r="I55" s="56" t="e">
        <f t="shared" si="6"/>
        <v>#DIV/0!</v>
      </c>
    </row>
    <row r="56" spans="1:9" ht="15.75" x14ac:dyDescent="0.25">
      <c r="A56" s="9" t="s">
        <v>12</v>
      </c>
      <c r="B56" s="9"/>
      <c r="C56" s="20">
        <f>SUM(C49:C55)</f>
        <v>6517703</v>
      </c>
      <c r="D56" s="20">
        <v>6202508</v>
      </c>
      <c r="E56" s="77">
        <v>6850120</v>
      </c>
      <c r="F56" s="77">
        <v>8257127</v>
      </c>
      <c r="G56" s="39">
        <f>SUM(G49:G55)</f>
        <v>8670698</v>
      </c>
      <c r="H56" s="163">
        <f t="shared" si="5"/>
        <v>413571</v>
      </c>
      <c r="I56" s="56">
        <f t="shared" si="6"/>
        <v>5.0086549474169406E-2</v>
      </c>
    </row>
    <row r="57" spans="1:9" ht="15.75" x14ac:dyDescent="0.25">
      <c r="A57" s="167"/>
      <c r="B57" s="168"/>
      <c r="C57" s="17"/>
      <c r="D57" s="17"/>
      <c r="E57" s="13"/>
      <c r="F57" s="13"/>
      <c r="G57" s="13"/>
      <c r="H57" s="17"/>
      <c r="I57" s="17"/>
    </row>
    <row r="58" spans="1:9" ht="15.75" hidden="1" x14ac:dyDescent="0.25">
      <c r="A58" s="2" t="s">
        <v>13</v>
      </c>
      <c r="B58" s="2"/>
      <c r="C58" s="19" t="s">
        <v>41</v>
      </c>
      <c r="D58" s="18" t="s">
        <v>34</v>
      </c>
      <c r="E58" s="92" t="s">
        <v>40</v>
      </c>
      <c r="F58" s="92" t="s">
        <v>56</v>
      </c>
      <c r="G58" s="117" t="str">
        <f>G48</f>
        <v>FY 2017-2018 (Projection)</v>
      </c>
      <c r="H58" s="17"/>
      <c r="I58" s="17"/>
    </row>
    <row r="59" spans="1:9" ht="15.75" hidden="1" x14ac:dyDescent="0.25">
      <c r="A59" s="57" t="s">
        <v>14</v>
      </c>
      <c r="B59" s="17" t="s">
        <v>15</v>
      </c>
      <c r="C59" s="63">
        <v>0</v>
      </c>
      <c r="D59" s="63">
        <v>0</v>
      </c>
      <c r="E59" s="63">
        <v>0</v>
      </c>
      <c r="F59" s="63">
        <v>0</v>
      </c>
      <c r="G59" s="94">
        <f>'Data Worksheet for FY 1718'!C13</f>
        <v>0</v>
      </c>
      <c r="H59" s="17"/>
      <c r="I59" s="17"/>
    </row>
    <row r="60" spans="1:9" ht="15.75" hidden="1" x14ac:dyDescent="0.25">
      <c r="A60" s="57" t="s">
        <v>16</v>
      </c>
      <c r="B60" s="17" t="s">
        <v>17</v>
      </c>
      <c r="C60" s="63">
        <v>0</v>
      </c>
      <c r="D60" s="63">
        <v>0</v>
      </c>
      <c r="E60" s="63">
        <v>2950</v>
      </c>
      <c r="F60" s="63">
        <v>0</v>
      </c>
      <c r="G60" s="94">
        <f>'Data Worksheet for FY 1718'!C14</f>
        <v>4000</v>
      </c>
      <c r="H60" s="17"/>
      <c r="I60" s="17"/>
    </row>
    <row r="61" spans="1:9" ht="15.75" hidden="1" x14ac:dyDescent="0.25">
      <c r="A61" s="57" t="s">
        <v>18</v>
      </c>
      <c r="B61" s="17" t="s">
        <v>19</v>
      </c>
      <c r="C61" s="63">
        <v>0</v>
      </c>
      <c r="D61" s="63">
        <v>0</v>
      </c>
      <c r="E61" s="63">
        <v>0</v>
      </c>
      <c r="F61" s="63">
        <v>0</v>
      </c>
      <c r="G61" s="94">
        <f>'Data Worksheet for FY 1718'!C15</f>
        <v>0</v>
      </c>
      <c r="H61" s="17"/>
      <c r="I61" s="17"/>
    </row>
    <row r="62" spans="1:9" ht="15.75" hidden="1" x14ac:dyDescent="0.25">
      <c r="A62" s="57" t="s">
        <v>20</v>
      </c>
      <c r="B62" s="17" t="s">
        <v>36</v>
      </c>
      <c r="C62" s="61">
        <v>1524580</v>
      </c>
      <c r="D62" s="61">
        <v>1382553</v>
      </c>
      <c r="E62" s="63">
        <v>1163382</v>
      </c>
      <c r="F62" s="63">
        <v>1314150</v>
      </c>
      <c r="G62" s="94">
        <f>'Data Worksheet for FY 1718'!C16</f>
        <v>1645922</v>
      </c>
      <c r="H62" s="17"/>
      <c r="I62" s="17"/>
    </row>
    <row r="63" spans="1:9" ht="15.75" hidden="1" x14ac:dyDescent="0.25">
      <c r="A63" s="57" t="s">
        <v>21</v>
      </c>
      <c r="B63" s="17" t="s">
        <v>22</v>
      </c>
      <c r="C63" s="61">
        <v>2349962</v>
      </c>
      <c r="D63" s="61">
        <v>2486583</v>
      </c>
      <c r="E63" s="63">
        <v>2421653</v>
      </c>
      <c r="F63" s="63">
        <v>2720510</v>
      </c>
      <c r="G63" s="94">
        <f>'Data Worksheet for FY 1718'!C17</f>
        <v>4209516</v>
      </c>
      <c r="H63" s="17"/>
      <c r="I63" s="17"/>
    </row>
    <row r="64" spans="1:9" ht="15.75" hidden="1" x14ac:dyDescent="0.25">
      <c r="A64" s="57" t="s">
        <v>52</v>
      </c>
      <c r="B64" s="17" t="s">
        <v>54</v>
      </c>
      <c r="C64" s="61">
        <v>5000</v>
      </c>
      <c r="D64" s="61">
        <v>5000</v>
      </c>
      <c r="E64" s="63">
        <v>18235</v>
      </c>
      <c r="F64" s="63">
        <v>5000</v>
      </c>
      <c r="G64" s="94">
        <f>'Data Worksheet for FY 1718'!C18</f>
        <v>6800</v>
      </c>
      <c r="H64" s="17"/>
      <c r="I64" s="17"/>
    </row>
    <row r="65" spans="1:9" ht="15.75" hidden="1" x14ac:dyDescent="0.25">
      <c r="A65" s="57" t="s">
        <v>53</v>
      </c>
      <c r="B65" s="17" t="s">
        <v>35</v>
      </c>
      <c r="C65" s="61">
        <v>71122</v>
      </c>
      <c r="D65" s="61">
        <v>116462</v>
      </c>
      <c r="E65" s="63">
        <v>132424</v>
      </c>
      <c r="F65" s="63">
        <v>81920</v>
      </c>
      <c r="G65" s="94">
        <f>'Data Worksheet for FY 1718'!C19</f>
        <v>91718</v>
      </c>
      <c r="H65" s="17"/>
      <c r="I65" s="17"/>
    </row>
    <row r="66" spans="1:9" ht="15.75" hidden="1" x14ac:dyDescent="0.25">
      <c r="A66" s="11" t="s">
        <v>23</v>
      </c>
      <c r="B66" s="17" t="s">
        <v>31</v>
      </c>
      <c r="C66" s="62">
        <v>1246143</v>
      </c>
      <c r="D66" s="62">
        <v>1234091</v>
      </c>
      <c r="E66" s="79">
        <v>1133500</v>
      </c>
      <c r="F66" s="79">
        <v>1302847</v>
      </c>
      <c r="G66" s="94">
        <f>'Data Worksheet for FY 1718'!C20</f>
        <v>1912866</v>
      </c>
      <c r="H66" s="17"/>
      <c r="I66" s="17"/>
    </row>
    <row r="67" spans="1:9" ht="15.75" hidden="1" x14ac:dyDescent="0.25">
      <c r="A67" s="57" t="s">
        <v>24</v>
      </c>
      <c r="B67" s="17" t="s">
        <v>47</v>
      </c>
      <c r="C67" s="61">
        <v>406146</v>
      </c>
      <c r="D67" s="61">
        <v>438193</v>
      </c>
      <c r="E67" s="63">
        <v>308315</v>
      </c>
      <c r="F67" s="63">
        <f>299249+719015</f>
        <v>1018264</v>
      </c>
      <c r="G67" s="94">
        <f>'Data Worksheet for FY 1718'!C21</f>
        <v>579573</v>
      </c>
      <c r="H67" s="17"/>
      <c r="I67" s="17"/>
    </row>
    <row r="68" spans="1:9" ht="15.75" hidden="1" x14ac:dyDescent="0.25">
      <c r="A68" s="57" t="s">
        <v>25</v>
      </c>
      <c r="B68" s="17" t="s">
        <v>26</v>
      </c>
      <c r="C68" s="61">
        <v>34173</v>
      </c>
      <c r="D68" s="61">
        <v>49591</v>
      </c>
      <c r="E68" s="63">
        <v>42998</v>
      </c>
      <c r="F68" s="63">
        <v>48191</v>
      </c>
      <c r="G68" s="94">
        <f>'Data Worksheet for FY 1718'!C22</f>
        <v>111396</v>
      </c>
      <c r="H68" s="17"/>
      <c r="I68" s="17"/>
    </row>
    <row r="69" spans="1:9" ht="15.75" hidden="1" x14ac:dyDescent="0.25">
      <c r="A69" s="57" t="s">
        <v>27</v>
      </c>
      <c r="B69" s="17" t="s">
        <v>28</v>
      </c>
      <c r="C69" s="61">
        <v>57250</v>
      </c>
      <c r="D69" s="61">
        <v>43750</v>
      </c>
      <c r="E69" s="63">
        <v>114071</v>
      </c>
      <c r="F69" s="63">
        <v>25500</v>
      </c>
      <c r="G69" s="94">
        <f>'Data Worksheet for FY 1718'!C23</f>
        <v>15500</v>
      </c>
      <c r="H69" s="17"/>
      <c r="I69" s="17"/>
    </row>
    <row r="70" spans="1:9" ht="15.75" hidden="1" x14ac:dyDescent="0.25">
      <c r="A70" s="57" t="s">
        <v>29</v>
      </c>
      <c r="B70" s="17" t="s">
        <v>30</v>
      </c>
      <c r="C70" s="61">
        <v>1000</v>
      </c>
      <c r="D70" s="61">
        <v>19800</v>
      </c>
      <c r="E70" s="63">
        <v>22711</v>
      </c>
      <c r="F70" s="63">
        <v>89000</v>
      </c>
      <c r="G70" s="94">
        <f>'Data Worksheet for FY 1718'!C24</f>
        <v>68407</v>
      </c>
      <c r="H70" s="4"/>
      <c r="I70" s="4"/>
    </row>
    <row r="71" spans="1:9" ht="15.75" hidden="1" x14ac:dyDescent="0.25">
      <c r="A71" s="57" t="s">
        <v>37</v>
      </c>
      <c r="B71" s="17" t="s">
        <v>46</v>
      </c>
      <c r="C71" s="61">
        <v>754221</v>
      </c>
      <c r="D71" s="61">
        <v>575772</v>
      </c>
      <c r="E71" s="63">
        <v>522162</v>
      </c>
      <c r="F71" s="63">
        <v>244738</v>
      </c>
      <c r="G71" s="94">
        <f>'Data Worksheet for FY 1718'!C25</f>
        <v>0</v>
      </c>
      <c r="H71" s="17"/>
      <c r="I71" s="17"/>
    </row>
    <row r="72" spans="1:9" ht="15.75" hidden="1" x14ac:dyDescent="0.25">
      <c r="A72" s="57" t="s">
        <v>86</v>
      </c>
      <c r="B72" s="17"/>
      <c r="C72" s="61"/>
      <c r="D72" s="61"/>
      <c r="E72" s="63"/>
      <c r="F72" s="63">
        <v>0</v>
      </c>
      <c r="G72" s="94"/>
      <c r="H72" s="17"/>
      <c r="I72" s="17"/>
    </row>
    <row r="73" spans="1:9" ht="15.75" hidden="1" x14ac:dyDescent="0.25">
      <c r="A73" s="57" t="s">
        <v>77</v>
      </c>
      <c r="B73" s="17" t="s">
        <v>76</v>
      </c>
      <c r="C73" s="62">
        <v>68106</v>
      </c>
      <c r="D73" s="62">
        <v>68380</v>
      </c>
      <c r="E73" s="79">
        <f>37712-1</f>
        <v>37711</v>
      </c>
      <c r="F73" s="63">
        <v>0</v>
      </c>
      <c r="G73" s="94">
        <f>'Data Worksheet for FY 1718'!C26</f>
        <v>25000</v>
      </c>
      <c r="H73" s="17" t="s">
        <v>45</v>
      </c>
      <c r="I73" s="17"/>
    </row>
    <row r="74" spans="1:9" ht="15.75" hidden="1" x14ac:dyDescent="0.25">
      <c r="A74" s="9" t="s">
        <v>12</v>
      </c>
      <c r="B74" s="9"/>
      <c r="C74" s="21">
        <f t="shared" ref="C74:H74" si="7">C56</f>
        <v>6517703</v>
      </c>
      <c r="D74" s="21">
        <f t="shared" si="7"/>
        <v>6202508</v>
      </c>
      <c r="E74" s="58">
        <f t="shared" si="7"/>
        <v>6850120</v>
      </c>
      <c r="F74" s="58">
        <f t="shared" si="7"/>
        <v>8257127</v>
      </c>
      <c r="G74" s="42">
        <f t="shared" si="7"/>
        <v>8670698</v>
      </c>
      <c r="H74" s="5">
        <f t="shared" si="7"/>
        <v>413571</v>
      </c>
      <c r="I74" s="5"/>
    </row>
    <row r="75" spans="1:9" ht="15.75" hidden="1" x14ac:dyDescent="0.25">
      <c r="A75" s="12"/>
      <c r="B75" s="50" t="s">
        <v>48</v>
      </c>
      <c r="C75" s="51">
        <f>SUM(C59:C73)</f>
        <v>6517703</v>
      </c>
      <c r="D75" s="51">
        <f>SUM(D59:D73)</f>
        <v>6420175</v>
      </c>
      <c r="E75" s="80">
        <f>SUM(E59:E73)</f>
        <v>5920112</v>
      </c>
      <c r="F75" s="80">
        <f>SUM(F59:F73)</f>
        <v>6850120</v>
      </c>
      <c r="G75" s="51">
        <f>SUM(G59:G71)</f>
        <v>8645698</v>
      </c>
      <c r="H75" s="5"/>
      <c r="I75" s="5"/>
    </row>
    <row r="76" spans="1:9" ht="15.75" hidden="1" x14ac:dyDescent="0.25">
      <c r="A76" s="12"/>
      <c r="B76" s="50" t="s">
        <v>49</v>
      </c>
      <c r="C76" s="51">
        <f>C74-C75</f>
        <v>0</v>
      </c>
      <c r="D76" s="51">
        <f>D74-D75</f>
        <v>-217667</v>
      </c>
      <c r="E76" s="51">
        <f>E74-E75</f>
        <v>930008</v>
      </c>
      <c r="F76" s="80">
        <f>F74-F75</f>
        <v>1407007</v>
      </c>
      <c r="G76" s="51">
        <f>G74-G75</f>
        <v>25000</v>
      </c>
      <c r="H76" s="5"/>
      <c r="I76" s="5"/>
    </row>
    <row r="77" spans="1:9" ht="15.75" hidden="1" x14ac:dyDescent="0.25">
      <c r="A77" s="1"/>
      <c r="B77" s="1"/>
      <c r="C77" s="1"/>
      <c r="D77" s="1"/>
      <c r="E77" s="17"/>
      <c r="F77" s="13"/>
      <c r="G77" s="1"/>
      <c r="H77" s="1"/>
      <c r="I77" s="17"/>
    </row>
    <row r="78" spans="1:9" ht="15.75" hidden="1" x14ac:dyDescent="0.25">
      <c r="A78" s="1"/>
      <c r="B78" s="1"/>
      <c r="C78" s="1"/>
      <c r="D78" s="1"/>
      <c r="E78" s="17"/>
      <c r="F78" s="13"/>
      <c r="G78" s="1"/>
      <c r="H78" s="1"/>
      <c r="I78" s="17"/>
    </row>
    <row r="79" spans="1:9" ht="15.75" hidden="1" x14ac:dyDescent="0.25">
      <c r="A79" s="1"/>
      <c r="B79" s="1"/>
      <c r="C79" s="1"/>
      <c r="D79" s="1"/>
      <c r="E79" s="17"/>
      <c r="F79" s="13"/>
      <c r="G79" s="1"/>
      <c r="H79" s="1"/>
      <c r="I79" s="17"/>
    </row>
    <row r="80" spans="1:9" ht="15.75" x14ac:dyDescent="0.25">
      <c r="A80" s="1"/>
      <c r="B80" s="1"/>
      <c r="C80" s="1"/>
      <c r="D80" s="1"/>
      <c r="E80" s="17"/>
      <c r="F80" s="13"/>
      <c r="G80" s="1"/>
      <c r="H80" s="1"/>
      <c r="I80" s="17"/>
    </row>
    <row r="81" spans="1:9" ht="15.75" x14ac:dyDescent="0.25">
      <c r="A81" s="1"/>
      <c r="B81" s="1"/>
      <c r="C81" s="1"/>
      <c r="D81" s="1"/>
      <c r="E81" s="17"/>
      <c r="F81" s="17"/>
      <c r="G81" s="1"/>
      <c r="H81" s="1"/>
      <c r="I81" s="17"/>
    </row>
    <row r="82" spans="1:9" ht="15.75" x14ac:dyDescent="0.25">
      <c r="A82" s="1"/>
      <c r="B82" s="1"/>
      <c r="C82" s="1"/>
      <c r="D82" s="1"/>
      <c r="E82" s="17"/>
      <c r="F82" s="17"/>
      <c r="G82" s="1"/>
      <c r="H82" s="1"/>
      <c r="I82" s="17"/>
    </row>
    <row r="83" spans="1:9" ht="15.75" x14ac:dyDescent="0.25">
      <c r="A83" s="1"/>
      <c r="B83" s="1"/>
      <c r="C83" s="1"/>
      <c r="D83" s="1"/>
      <c r="E83" s="17"/>
      <c r="F83" s="17"/>
      <c r="G83" s="1"/>
      <c r="H83" s="1"/>
      <c r="I83" s="17"/>
    </row>
    <row r="84" spans="1:9" ht="15.75" x14ac:dyDescent="0.25">
      <c r="A84" s="1"/>
      <c r="B84" s="1"/>
      <c r="C84" s="1"/>
      <c r="D84" s="1"/>
      <c r="E84" s="17"/>
      <c r="F84" s="17"/>
      <c r="G84" s="1"/>
      <c r="H84" s="1"/>
      <c r="I84" s="17"/>
    </row>
    <row r="85" spans="1:9" ht="15.75" x14ac:dyDescent="0.25">
      <c r="A85" s="1"/>
      <c r="B85" s="1"/>
      <c r="C85" s="1"/>
      <c r="D85" s="1"/>
      <c r="E85" s="17"/>
      <c r="F85" s="17"/>
      <c r="G85" s="1"/>
      <c r="H85" s="1"/>
      <c r="I85" s="17"/>
    </row>
    <row r="86" spans="1:9" ht="15.75" x14ac:dyDescent="0.25">
      <c r="A86" s="1"/>
      <c r="B86" s="1"/>
      <c r="C86" s="1"/>
      <c r="D86" s="1"/>
      <c r="E86" s="17"/>
      <c r="F86" s="17"/>
      <c r="G86" s="1"/>
      <c r="H86" s="1"/>
      <c r="I86" s="17"/>
    </row>
    <row r="87" spans="1:9" ht="15.75" x14ac:dyDescent="0.25">
      <c r="A87" s="1"/>
      <c r="B87" s="1"/>
      <c r="C87" s="1"/>
      <c r="D87" s="1"/>
      <c r="E87" s="17"/>
      <c r="F87" s="17"/>
      <c r="G87" s="1"/>
      <c r="H87" s="1"/>
      <c r="I87" s="17"/>
    </row>
    <row r="88" spans="1:9" ht="15.75" x14ac:dyDescent="0.25">
      <c r="A88" s="1"/>
      <c r="B88" s="1"/>
      <c r="C88" s="1"/>
      <c r="D88" s="1"/>
      <c r="E88" s="17"/>
      <c r="F88" s="17"/>
      <c r="G88" s="1"/>
      <c r="H88" s="1"/>
      <c r="I88" s="17"/>
    </row>
    <row r="89" spans="1:9" ht="15.75" x14ac:dyDescent="0.25">
      <c r="A89" s="1"/>
      <c r="B89" s="1"/>
      <c r="C89" s="1"/>
      <c r="D89" s="1"/>
      <c r="E89" s="17"/>
      <c r="F89" s="17"/>
      <c r="G89" s="1"/>
      <c r="H89" s="1"/>
      <c r="I89" s="17"/>
    </row>
    <row r="90" spans="1:9" ht="15.75" x14ac:dyDescent="0.25">
      <c r="A90" s="1"/>
      <c r="B90" s="1"/>
      <c r="C90" s="1"/>
      <c r="D90" s="1"/>
      <c r="E90" s="17"/>
      <c r="F90" s="17"/>
      <c r="G90" s="1"/>
      <c r="H90" s="1"/>
      <c r="I90" s="17"/>
    </row>
    <row r="91" spans="1:9" ht="15.75" x14ac:dyDescent="0.25">
      <c r="A91" s="1"/>
      <c r="B91" s="1"/>
      <c r="C91" s="1"/>
      <c r="D91" s="1"/>
      <c r="E91" s="17"/>
      <c r="F91" s="17"/>
      <c r="G91" s="1"/>
      <c r="H91" s="1"/>
      <c r="I91" s="17"/>
    </row>
    <row r="92" spans="1:9" ht="15.75" x14ac:dyDescent="0.25">
      <c r="A92" s="1"/>
      <c r="B92" s="1"/>
      <c r="C92" s="1"/>
      <c r="D92" s="1"/>
      <c r="E92" s="17"/>
      <c r="F92" s="17"/>
      <c r="G92" s="1"/>
      <c r="H92" s="1"/>
      <c r="I92" s="17"/>
    </row>
    <row r="93" spans="1:9" ht="15.75" x14ac:dyDescent="0.25">
      <c r="A93" s="1"/>
      <c r="B93" s="1"/>
      <c r="C93" s="1"/>
      <c r="D93" s="1"/>
      <c r="E93" s="17"/>
      <c r="F93" s="17"/>
      <c r="G93" s="1"/>
      <c r="H93" s="1"/>
      <c r="I93" s="17"/>
    </row>
  </sheetData>
  <printOptions horizontalCentered="1"/>
  <pageMargins left="0.25" right="0.25" top="0.75" bottom="0.75" header="0.3" footer="0.3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2"/>
  <sheetViews>
    <sheetView zoomScale="110" zoomScaleNormal="110" workbookViewId="0">
      <selection activeCell="F23" sqref="F23"/>
    </sheetView>
  </sheetViews>
  <sheetFormatPr defaultColWidth="9.140625" defaultRowHeight="12.75" x14ac:dyDescent="0.2"/>
  <cols>
    <col min="1" max="1" width="32" style="24" bestFit="1" customWidth="1"/>
    <col min="2" max="2" width="14.7109375" style="24" bestFit="1" customWidth="1"/>
    <col min="3" max="3" width="15.7109375" style="24" customWidth="1"/>
    <col min="4" max="4" width="16.85546875" style="24" customWidth="1"/>
    <col min="5" max="5" width="15.7109375" style="24" customWidth="1"/>
    <col min="6" max="6" width="16.7109375" style="24" customWidth="1"/>
    <col min="7" max="9" width="15.7109375" style="24" customWidth="1"/>
    <col min="10" max="10" width="11" style="24" bestFit="1" customWidth="1"/>
    <col min="11" max="16384" width="9.140625" style="24"/>
  </cols>
  <sheetData>
    <row r="1" spans="1:9" x14ac:dyDescent="0.2">
      <c r="A1" s="81" t="s">
        <v>57</v>
      </c>
      <c r="G1" s="26">
        <f>G30-G10</f>
        <v>1196166.9299999997</v>
      </c>
    </row>
    <row r="2" spans="1:9" s="81" customFormat="1" x14ac:dyDescent="0.2">
      <c r="A2" s="82" t="s">
        <v>1</v>
      </c>
      <c r="B2" s="83" t="s">
        <v>3</v>
      </c>
      <c r="C2" s="83" t="s">
        <v>65</v>
      </c>
      <c r="D2" s="83" t="s">
        <v>58</v>
      </c>
      <c r="E2" s="83" t="s">
        <v>59</v>
      </c>
      <c r="F2" s="83" t="s">
        <v>60</v>
      </c>
      <c r="G2" s="83" t="s">
        <v>61</v>
      </c>
      <c r="H2" s="83" t="s">
        <v>96</v>
      </c>
      <c r="I2" s="83" t="s">
        <v>62</v>
      </c>
    </row>
    <row r="3" spans="1:9" x14ac:dyDescent="0.2">
      <c r="A3" s="24" t="s">
        <v>0</v>
      </c>
      <c r="B3" s="24" t="s">
        <v>64</v>
      </c>
      <c r="C3" s="85">
        <v>500000</v>
      </c>
      <c r="D3" s="85">
        <v>28231576</v>
      </c>
      <c r="E3" s="165">
        <v>20678364</v>
      </c>
      <c r="F3" s="166">
        <f>19478932.43+34599</f>
        <v>19513531.43</v>
      </c>
      <c r="G3" s="165">
        <f>2556942.75-61965</f>
        <v>2494977.75</v>
      </c>
      <c r="H3" s="85">
        <v>403461</v>
      </c>
      <c r="I3" s="85">
        <f t="shared" ref="I3:I9" si="0">SUM(C3:H3)</f>
        <v>71821910.180000007</v>
      </c>
    </row>
    <row r="4" spans="1:9" x14ac:dyDescent="0.2">
      <c r="A4" s="24" t="s">
        <v>4</v>
      </c>
      <c r="B4" s="24" t="s">
        <v>5</v>
      </c>
      <c r="C4" s="85">
        <v>162665</v>
      </c>
      <c r="D4" s="85">
        <v>1007763</v>
      </c>
      <c r="E4" s="165">
        <v>619881</v>
      </c>
      <c r="F4" s="165">
        <v>619730</v>
      </c>
      <c r="G4" s="165">
        <v>0</v>
      </c>
      <c r="H4" s="85">
        <v>239636</v>
      </c>
      <c r="I4" s="85">
        <f t="shared" si="0"/>
        <v>2649675</v>
      </c>
    </row>
    <row r="5" spans="1:9" x14ac:dyDescent="0.2">
      <c r="A5" s="24" t="s">
        <v>6</v>
      </c>
      <c r="B5" s="24" t="s">
        <v>7</v>
      </c>
      <c r="C5" s="85"/>
      <c r="D5" s="85">
        <v>5057440</v>
      </c>
      <c r="E5" s="165">
        <v>2951302</v>
      </c>
      <c r="F5" s="165">
        <v>4222267</v>
      </c>
      <c r="G5" s="165">
        <v>365281.6</v>
      </c>
      <c r="H5" s="85"/>
      <c r="I5" s="85">
        <f t="shared" si="0"/>
        <v>12596290.6</v>
      </c>
    </row>
    <row r="6" spans="1:9" x14ac:dyDescent="0.2">
      <c r="A6" s="24" t="s">
        <v>8</v>
      </c>
      <c r="B6" s="24" t="s">
        <v>9</v>
      </c>
      <c r="C6" s="85">
        <f>7941815-32682-29700</f>
        <v>7879433</v>
      </c>
      <c r="D6" s="85">
        <v>4992277</v>
      </c>
      <c r="E6" s="165">
        <v>2895159</v>
      </c>
      <c r="F6" s="165">
        <v>3391548.5</v>
      </c>
      <c r="G6" s="165">
        <v>464380.72</v>
      </c>
      <c r="H6" s="85">
        <v>3008357</v>
      </c>
      <c r="I6" s="85">
        <f t="shared" si="0"/>
        <v>22631155.219999999</v>
      </c>
    </row>
    <row r="7" spans="1:9" x14ac:dyDescent="0.2">
      <c r="A7" s="24" t="s">
        <v>10</v>
      </c>
      <c r="B7" s="24" t="s">
        <v>11</v>
      </c>
      <c r="C7" s="85">
        <v>128600</v>
      </c>
      <c r="D7" s="85">
        <v>6106673</v>
      </c>
      <c r="E7" s="165">
        <v>3543563</v>
      </c>
      <c r="F7" s="165">
        <v>4116914.4</v>
      </c>
      <c r="G7" s="165">
        <v>549289</v>
      </c>
      <c r="H7" s="85">
        <v>59600</v>
      </c>
      <c r="I7" s="85">
        <f t="shared" si="0"/>
        <v>14504639.4</v>
      </c>
    </row>
    <row r="8" spans="1:9" x14ac:dyDescent="0.2">
      <c r="A8" s="24" t="s">
        <v>37</v>
      </c>
      <c r="B8" s="24" t="s">
        <v>39</v>
      </c>
      <c r="C8" s="85"/>
      <c r="D8" s="85">
        <v>3265095</v>
      </c>
      <c r="E8" s="165">
        <v>137139</v>
      </c>
      <c r="F8" s="166">
        <v>369998</v>
      </c>
      <c r="G8" s="165">
        <v>5000</v>
      </c>
      <c r="H8" s="85">
        <v>0</v>
      </c>
      <c r="I8" s="85">
        <f t="shared" si="0"/>
        <v>3777232</v>
      </c>
    </row>
    <row r="9" spans="1:9" x14ac:dyDescent="0.2">
      <c r="A9" s="24" t="s">
        <v>38</v>
      </c>
      <c r="C9" s="85"/>
      <c r="D9" s="85"/>
      <c r="E9" s="85"/>
      <c r="F9" s="85"/>
      <c r="G9" s="85"/>
      <c r="H9" s="85"/>
      <c r="I9" s="85">
        <f t="shared" si="0"/>
        <v>0</v>
      </c>
    </row>
    <row r="10" spans="1:9" s="81" customFormat="1" x14ac:dyDescent="0.2">
      <c r="A10" s="83" t="s">
        <v>12</v>
      </c>
      <c r="B10" s="83" t="s">
        <v>62</v>
      </c>
      <c r="C10" s="86">
        <f t="shared" ref="C10:G10" si="1">SUM(C3:C9)</f>
        <v>8670698</v>
      </c>
      <c r="D10" s="86">
        <f t="shared" si="1"/>
        <v>48660824</v>
      </c>
      <c r="E10" s="86">
        <f t="shared" si="1"/>
        <v>30825408</v>
      </c>
      <c r="F10" s="86">
        <f t="shared" si="1"/>
        <v>32233989.329999998</v>
      </c>
      <c r="G10" s="86">
        <f t="shared" si="1"/>
        <v>3878929.0700000003</v>
      </c>
      <c r="H10" s="86">
        <f>SUM(H3:H9)</f>
        <v>3711054</v>
      </c>
      <c r="I10" s="86">
        <f>SUM(I3:I9)</f>
        <v>127980902.40000001</v>
      </c>
    </row>
    <row r="11" spans="1:9" s="109" customFormat="1" x14ac:dyDescent="0.2">
      <c r="A11" s="108" t="s">
        <v>67</v>
      </c>
      <c r="B11" s="109" t="s">
        <v>66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1">
        <f>SUM(C10:H10)</f>
        <v>127980902.40000001</v>
      </c>
    </row>
    <row r="12" spans="1:9" s="81" customFormat="1" x14ac:dyDescent="0.2">
      <c r="A12" s="82" t="s">
        <v>13</v>
      </c>
      <c r="B12" s="83" t="s">
        <v>63</v>
      </c>
      <c r="C12" s="83" t="s">
        <v>65</v>
      </c>
      <c r="D12" s="83" t="s">
        <v>58</v>
      </c>
      <c r="E12" s="83" t="s">
        <v>59</v>
      </c>
      <c r="F12" s="83" t="s">
        <v>60</v>
      </c>
      <c r="G12" s="83" t="s">
        <v>61</v>
      </c>
      <c r="H12" s="83" t="s">
        <v>96</v>
      </c>
      <c r="I12" s="83" t="s">
        <v>62</v>
      </c>
    </row>
    <row r="13" spans="1:9" x14ac:dyDescent="0.2">
      <c r="A13" s="84" t="s">
        <v>14</v>
      </c>
      <c r="B13" s="24" t="s">
        <v>15</v>
      </c>
      <c r="C13" s="85">
        <v>0</v>
      </c>
      <c r="D13" s="165">
        <v>10045794</v>
      </c>
      <c r="E13" s="165">
        <v>5456629</v>
      </c>
      <c r="F13" s="85">
        <v>5307163</v>
      </c>
      <c r="G13" s="165">
        <v>240707</v>
      </c>
      <c r="H13" s="85">
        <v>126483</v>
      </c>
      <c r="I13" s="85">
        <f t="shared" ref="I13:I26" si="2">SUM(C13:H13)</f>
        <v>21176776</v>
      </c>
    </row>
    <row r="14" spans="1:9" x14ac:dyDescent="0.2">
      <c r="A14" s="84" t="s">
        <v>16</v>
      </c>
      <c r="B14" s="24" t="s">
        <v>17</v>
      </c>
      <c r="C14" s="85">
        <v>4000</v>
      </c>
      <c r="D14" s="165">
        <v>457083</v>
      </c>
      <c r="E14" s="165">
        <v>399197</v>
      </c>
      <c r="F14" s="85">
        <v>277620</v>
      </c>
      <c r="G14" s="165">
        <v>67419</v>
      </c>
      <c r="H14" s="85">
        <v>118566</v>
      </c>
      <c r="I14" s="85">
        <f t="shared" si="2"/>
        <v>1323885</v>
      </c>
    </row>
    <row r="15" spans="1:9" x14ac:dyDescent="0.2">
      <c r="A15" s="84" t="s">
        <v>18</v>
      </c>
      <c r="B15" s="24" t="s">
        <v>19</v>
      </c>
      <c r="C15" s="85"/>
      <c r="D15" s="165">
        <v>7266054</v>
      </c>
      <c r="E15" s="165">
        <v>4927245</v>
      </c>
      <c r="F15" s="85">
        <f>4509675+34599+175693</f>
        <v>4719967</v>
      </c>
      <c r="G15" s="165">
        <f>749586.31-61965</f>
        <v>687621.31</v>
      </c>
      <c r="H15" s="85">
        <v>23056</v>
      </c>
      <c r="I15" s="85">
        <f t="shared" si="2"/>
        <v>17623943.309999999</v>
      </c>
    </row>
    <row r="16" spans="1:9" x14ac:dyDescent="0.2">
      <c r="A16" s="84" t="s">
        <v>20</v>
      </c>
      <c r="B16" s="24" t="s">
        <v>36</v>
      </c>
      <c r="C16" s="85">
        <v>1645922</v>
      </c>
      <c r="D16" s="165">
        <v>6630700</v>
      </c>
      <c r="E16" s="165">
        <v>4327317</v>
      </c>
      <c r="F16" s="85">
        <v>4276681.4000000004</v>
      </c>
      <c r="G16" s="165">
        <v>550614.72</v>
      </c>
      <c r="H16" s="85">
        <v>0</v>
      </c>
      <c r="I16" s="85">
        <f t="shared" si="2"/>
        <v>17431235.119999997</v>
      </c>
    </row>
    <row r="17" spans="1:10" x14ac:dyDescent="0.2">
      <c r="A17" s="84" t="s">
        <v>21</v>
      </c>
      <c r="B17" s="24" t="s">
        <v>22</v>
      </c>
      <c r="C17" s="85">
        <f>3892198+350000-32682</f>
        <v>4209516</v>
      </c>
      <c r="D17" s="165">
        <v>5543543</v>
      </c>
      <c r="E17" s="165">
        <v>3994001</v>
      </c>
      <c r="F17" s="85">
        <v>3992325.5</v>
      </c>
      <c r="G17" s="26">
        <v>397981.03999999992</v>
      </c>
      <c r="H17" s="85">
        <v>26738</v>
      </c>
      <c r="I17" s="85">
        <f t="shared" si="2"/>
        <v>18164104.539999999</v>
      </c>
    </row>
    <row r="18" spans="1:10" x14ac:dyDescent="0.2">
      <c r="A18" s="84" t="s">
        <v>52</v>
      </c>
      <c r="B18" s="24" t="s">
        <v>54</v>
      </c>
      <c r="C18" s="85">
        <v>6800</v>
      </c>
      <c r="D18" s="165">
        <v>15042</v>
      </c>
      <c r="E18" s="165">
        <v>1500</v>
      </c>
      <c r="F18" s="85">
        <v>7417</v>
      </c>
      <c r="G18" s="165">
        <v>3470</v>
      </c>
      <c r="H18" s="85">
        <v>0</v>
      </c>
      <c r="I18" s="85">
        <f t="shared" si="2"/>
        <v>34229</v>
      </c>
    </row>
    <row r="19" spans="1:10" x14ac:dyDescent="0.2">
      <c r="A19" s="84" t="s">
        <v>53</v>
      </c>
      <c r="B19" s="24" t="s">
        <v>87</v>
      </c>
      <c r="C19" s="85">
        <v>91718</v>
      </c>
      <c r="D19" s="165">
        <v>1062550</v>
      </c>
      <c r="E19" s="165">
        <v>385260</v>
      </c>
      <c r="F19" s="85">
        <v>581749</v>
      </c>
      <c r="G19" s="165">
        <v>191261</v>
      </c>
      <c r="H19" s="85">
        <v>313000</v>
      </c>
      <c r="I19" s="85">
        <f t="shared" si="2"/>
        <v>2625538</v>
      </c>
      <c r="J19" s="88">
        <f>SUM(I13:I19)</f>
        <v>78379710.969999999</v>
      </c>
    </row>
    <row r="20" spans="1:10" x14ac:dyDescent="0.2">
      <c r="A20" s="44" t="s">
        <v>23</v>
      </c>
      <c r="B20" s="24" t="s">
        <v>31</v>
      </c>
      <c r="C20" s="85">
        <f>1792566+150000-29700</f>
        <v>1912866</v>
      </c>
      <c r="D20" s="165">
        <v>10726197</v>
      </c>
      <c r="E20" s="165">
        <v>6628645</v>
      </c>
      <c r="F20" s="85">
        <v>6033211</v>
      </c>
      <c r="G20" s="165">
        <v>1057554</v>
      </c>
      <c r="H20" s="85">
        <v>694527</v>
      </c>
      <c r="I20" s="85">
        <f t="shared" si="2"/>
        <v>27053000</v>
      </c>
    </row>
    <row r="21" spans="1:10" x14ac:dyDescent="0.2">
      <c r="A21" s="84" t="s">
        <v>24</v>
      </c>
      <c r="B21" s="24" t="s">
        <v>47</v>
      </c>
      <c r="C21" s="85">
        <v>579573</v>
      </c>
      <c r="D21" s="165">
        <v>5195655</v>
      </c>
      <c r="E21" s="165">
        <v>3976324</v>
      </c>
      <c r="F21" s="85">
        <v>3497598</v>
      </c>
      <c r="G21" s="165">
        <v>434968</v>
      </c>
      <c r="H21" s="85">
        <v>2084541</v>
      </c>
      <c r="I21" s="85">
        <f t="shared" si="2"/>
        <v>15768659</v>
      </c>
    </row>
    <row r="22" spans="1:10" x14ac:dyDescent="0.2">
      <c r="A22" s="84" t="s">
        <v>25</v>
      </c>
      <c r="B22" s="24" t="s">
        <v>26</v>
      </c>
      <c r="C22" s="85">
        <v>111396</v>
      </c>
      <c r="D22" s="165">
        <v>85404</v>
      </c>
      <c r="E22" s="165">
        <v>90819</v>
      </c>
      <c r="F22" s="85">
        <f>247168-175693</f>
        <v>71475</v>
      </c>
      <c r="G22" s="165">
        <v>2525</v>
      </c>
      <c r="H22" s="85">
        <v>24477</v>
      </c>
      <c r="I22" s="85">
        <f t="shared" si="2"/>
        <v>386096</v>
      </c>
    </row>
    <row r="23" spans="1:10" x14ac:dyDescent="0.2">
      <c r="A23" s="84" t="s">
        <v>27</v>
      </c>
      <c r="B23" s="24" t="s">
        <v>28</v>
      </c>
      <c r="C23" s="85">
        <v>15500</v>
      </c>
      <c r="D23" s="165">
        <v>879289</v>
      </c>
      <c r="E23" s="165">
        <v>103582</v>
      </c>
      <c r="F23" s="85">
        <v>115100</v>
      </c>
      <c r="G23" s="165">
        <v>9427</v>
      </c>
      <c r="H23" s="85">
        <v>272166</v>
      </c>
      <c r="I23" s="85">
        <f t="shared" si="2"/>
        <v>1395064</v>
      </c>
    </row>
    <row r="24" spans="1:10" x14ac:dyDescent="0.2">
      <c r="A24" s="84" t="s">
        <v>29</v>
      </c>
      <c r="B24" s="24" t="s">
        <v>30</v>
      </c>
      <c r="C24" s="85">
        <v>68407</v>
      </c>
      <c r="D24" s="165">
        <v>31525</v>
      </c>
      <c r="E24" s="165">
        <v>149231</v>
      </c>
      <c r="F24" s="85">
        <v>12200</v>
      </c>
      <c r="G24" s="165">
        <v>0</v>
      </c>
      <c r="H24" s="85">
        <v>27500</v>
      </c>
      <c r="I24" s="85">
        <f t="shared" si="2"/>
        <v>288863</v>
      </c>
    </row>
    <row r="25" spans="1:10" x14ac:dyDescent="0.2">
      <c r="A25" s="84" t="s">
        <v>37</v>
      </c>
      <c r="B25" s="24" t="s">
        <v>46</v>
      </c>
      <c r="C25" s="85"/>
      <c r="D25" s="26">
        <v>0</v>
      </c>
      <c r="E25" s="165">
        <v>15924</v>
      </c>
      <c r="F25" s="85">
        <v>5998</v>
      </c>
      <c r="G25" s="165">
        <v>0</v>
      </c>
      <c r="H25" s="85">
        <v>0</v>
      </c>
      <c r="I25" s="85">
        <f>SUM(C25:H25)</f>
        <v>21922</v>
      </c>
    </row>
    <row r="26" spans="1:10" x14ac:dyDescent="0.2">
      <c r="A26" s="24" t="s">
        <v>77</v>
      </c>
      <c r="B26" s="24" t="s">
        <v>76</v>
      </c>
      <c r="C26" s="85">
        <v>25000</v>
      </c>
      <c r="D26" s="165">
        <v>721988</v>
      </c>
      <c r="E26" s="165">
        <v>369734</v>
      </c>
      <c r="F26" s="85">
        <v>3335484</v>
      </c>
      <c r="G26" s="165">
        <v>235381</v>
      </c>
      <c r="H26" s="85">
        <v>0</v>
      </c>
      <c r="I26" s="85">
        <f t="shared" si="2"/>
        <v>4687587</v>
      </c>
    </row>
    <row r="27" spans="1:10" s="81" customFormat="1" x14ac:dyDescent="0.2">
      <c r="A27" s="83"/>
      <c r="B27" s="83" t="s">
        <v>62</v>
      </c>
      <c r="C27" s="86">
        <f>SUM(C13:C26)</f>
        <v>8670698</v>
      </c>
      <c r="D27" s="86">
        <f>SUM(D13:D26)</f>
        <v>48660824</v>
      </c>
      <c r="E27" s="86">
        <f t="shared" ref="E27:I27" si="3">SUM(E13:E26)</f>
        <v>30825408</v>
      </c>
      <c r="F27" s="86">
        <f t="shared" si="3"/>
        <v>32233988.899999999</v>
      </c>
      <c r="G27" s="86">
        <f t="shared" si="3"/>
        <v>3878929.07</v>
      </c>
      <c r="H27" s="86">
        <f t="shared" si="3"/>
        <v>3711054</v>
      </c>
      <c r="I27" s="86">
        <f t="shared" si="3"/>
        <v>127980901.97</v>
      </c>
    </row>
    <row r="28" spans="1:10" x14ac:dyDescent="0.2">
      <c r="A28" s="87"/>
      <c r="C28" s="85"/>
      <c r="D28" s="85"/>
      <c r="E28" s="85"/>
      <c r="F28" s="85"/>
      <c r="G28" s="85"/>
      <c r="H28" s="85"/>
      <c r="I28" s="85">
        <f>SUM(C27:H27)</f>
        <v>127980901.97</v>
      </c>
    </row>
    <row r="29" spans="1:10" x14ac:dyDescent="0.2">
      <c r="C29" s="88">
        <f>C10-C27</f>
        <v>0</v>
      </c>
      <c r="D29" s="88">
        <f>D10-D27</f>
        <v>0</v>
      </c>
      <c r="E29" s="88">
        <f t="shared" ref="E29:I29" si="4">E10-E27</f>
        <v>0</v>
      </c>
      <c r="F29" s="88">
        <f t="shared" si="4"/>
        <v>0.42999999970197678</v>
      </c>
      <c r="G29" s="88">
        <f t="shared" si="4"/>
        <v>0</v>
      </c>
      <c r="H29" s="88">
        <f t="shared" si="4"/>
        <v>0</v>
      </c>
      <c r="I29" s="88">
        <f t="shared" si="4"/>
        <v>0.43000000715255737</v>
      </c>
    </row>
    <row r="30" spans="1:10" x14ac:dyDescent="0.2">
      <c r="A30" s="89" t="s">
        <v>68</v>
      </c>
      <c r="B30" s="89"/>
      <c r="C30" s="90">
        <v>3622206</v>
      </c>
      <c r="D30" s="91">
        <v>42297575</v>
      </c>
      <c r="E30" s="90">
        <v>30390896</v>
      </c>
      <c r="F30" s="90">
        <v>33581627</v>
      </c>
      <c r="G30" s="90">
        <v>5075096</v>
      </c>
      <c r="H30" s="90">
        <v>6202508</v>
      </c>
      <c r="I30" s="90">
        <v>121169908</v>
      </c>
    </row>
    <row r="31" spans="1:10" x14ac:dyDescent="0.2">
      <c r="C31" s="88">
        <f>C27-C30</f>
        <v>5048492</v>
      </c>
      <c r="D31" s="88">
        <f>D27-D30</f>
        <v>6363249</v>
      </c>
      <c r="E31" s="88">
        <f t="shared" ref="E31:I31" si="5">E27-E30</f>
        <v>434512</v>
      </c>
      <c r="F31" s="88">
        <f t="shared" si="5"/>
        <v>-1347638.1000000015</v>
      </c>
      <c r="G31" s="88">
        <f t="shared" si="5"/>
        <v>-1196166.9300000002</v>
      </c>
      <c r="H31" s="88">
        <f t="shared" si="5"/>
        <v>-2491454</v>
      </c>
      <c r="I31" s="88">
        <f t="shared" si="5"/>
        <v>6810993.9699999988</v>
      </c>
    </row>
    <row r="33" spans="1:9" x14ac:dyDescent="0.2">
      <c r="A33" s="126" t="s">
        <v>95</v>
      </c>
      <c r="B33" s="126"/>
      <c r="C33" s="127">
        <v>8277340</v>
      </c>
      <c r="D33" s="127">
        <v>47775590</v>
      </c>
      <c r="E33" s="127">
        <v>31068741</v>
      </c>
      <c r="F33" s="127">
        <v>33039656</v>
      </c>
      <c r="G33" s="127">
        <v>5023816</v>
      </c>
      <c r="H33" s="127">
        <v>3670590</v>
      </c>
      <c r="I33" s="127">
        <f>SUM(C33:H33)-0.6</f>
        <v>128855732.40000001</v>
      </c>
    </row>
    <row r="34" spans="1:9" x14ac:dyDescent="0.2">
      <c r="C34" s="125"/>
      <c r="D34" s="125"/>
      <c r="E34" s="125"/>
      <c r="F34" s="125"/>
      <c r="G34" s="125"/>
      <c r="H34" s="125"/>
    </row>
    <row r="35" spans="1:9" x14ac:dyDescent="0.2">
      <c r="B35" s="24" t="s">
        <v>97</v>
      </c>
      <c r="C35" s="125">
        <f>C27-C33</f>
        <v>393358</v>
      </c>
      <c r="D35" s="154">
        <f t="shared" ref="D35:G35" si="6">D27-D33</f>
        <v>885234</v>
      </c>
      <c r="E35" s="125">
        <f t="shared" si="6"/>
        <v>-243333</v>
      </c>
      <c r="F35" s="154">
        <f t="shared" si="6"/>
        <v>-805667.10000000149</v>
      </c>
      <c r="G35" s="125">
        <f t="shared" si="6"/>
        <v>-1144886.9300000002</v>
      </c>
      <c r="H35" s="125">
        <f>H27-H33+0.8</f>
        <v>40464.800000000003</v>
      </c>
    </row>
    <row r="37" spans="1:9" x14ac:dyDescent="0.2">
      <c r="D37" s="155" t="s">
        <v>125</v>
      </c>
      <c r="F37" s="155" t="s">
        <v>129</v>
      </c>
    </row>
    <row r="38" spans="1:9" x14ac:dyDescent="0.2">
      <c r="D38" s="155" t="s">
        <v>126</v>
      </c>
      <c r="F38" s="155" t="s">
        <v>130</v>
      </c>
    </row>
    <row r="39" spans="1:9" x14ac:dyDescent="0.2">
      <c r="D39" s="155"/>
      <c r="F39" s="155" t="s">
        <v>131</v>
      </c>
    </row>
    <row r="40" spans="1:9" x14ac:dyDescent="0.2">
      <c r="D40" s="155" t="s">
        <v>127</v>
      </c>
    </row>
    <row r="41" spans="1:9" x14ac:dyDescent="0.2">
      <c r="D41" s="155" t="s">
        <v>128</v>
      </c>
      <c r="F41" s="156" t="s">
        <v>132</v>
      </c>
    </row>
    <row r="42" spans="1:9" x14ac:dyDescent="0.2">
      <c r="D42" s="156">
        <v>1359394</v>
      </c>
      <c r="F42" s="155" t="s">
        <v>97</v>
      </c>
    </row>
  </sheetData>
  <pageMargins left="0.25" right="0.25" top="0.75" bottom="0.75" header="0.3" footer="0.3"/>
  <pageSetup scale="78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showGridLines="0" workbookViewId="0">
      <selection activeCell="H26" sqref="H26"/>
    </sheetView>
  </sheetViews>
  <sheetFormatPr defaultColWidth="9.140625" defaultRowHeight="12.75" x14ac:dyDescent="0.2"/>
  <cols>
    <col min="1" max="1" width="32" style="24" bestFit="1" customWidth="1"/>
    <col min="2" max="2" width="14.7109375" style="24" bestFit="1" customWidth="1"/>
    <col min="3" max="3" width="15.7109375" style="24" customWidth="1"/>
    <col min="4" max="4" width="16.85546875" style="24" customWidth="1"/>
    <col min="5" max="5" width="15.7109375" style="24" customWidth="1"/>
    <col min="6" max="6" width="16.7109375" style="24" customWidth="1"/>
    <col min="7" max="9" width="15.7109375" style="24" customWidth="1"/>
    <col min="10" max="10" width="11" style="24" bestFit="1" customWidth="1"/>
    <col min="11" max="16384" width="9.140625" style="24"/>
  </cols>
  <sheetData>
    <row r="1" spans="1:9" x14ac:dyDescent="0.2">
      <c r="A1" s="81" t="s">
        <v>57</v>
      </c>
      <c r="G1" s="26">
        <f>G30-G10</f>
        <v>5075096</v>
      </c>
    </row>
    <row r="2" spans="1:9" s="81" customFormat="1" x14ac:dyDescent="0.2">
      <c r="A2" s="82" t="s">
        <v>1</v>
      </c>
      <c r="B2" s="83" t="s">
        <v>3</v>
      </c>
      <c r="C2" s="83" t="s">
        <v>65</v>
      </c>
      <c r="D2" s="83" t="s">
        <v>58</v>
      </c>
      <c r="E2" s="83" t="s">
        <v>59</v>
      </c>
      <c r="F2" s="83" t="s">
        <v>60</v>
      </c>
      <c r="G2" s="83" t="s">
        <v>61</v>
      </c>
      <c r="H2" s="83" t="s">
        <v>96</v>
      </c>
      <c r="I2" s="83" t="s">
        <v>62</v>
      </c>
    </row>
    <row r="3" spans="1:9" x14ac:dyDescent="0.2">
      <c r="A3" s="24" t="s">
        <v>0</v>
      </c>
      <c r="B3" s="24" t="s">
        <v>64</v>
      </c>
      <c r="C3" s="85"/>
      <c r="D3" s="85"/>
      <c r="E3" s="85"/>
      <c r="F3" s="85"/>
      <c r="G3" s="85"/>
      <c r="H3" s="85"/>
      <c r="I3" s="85">
        <f t="shared" ref="I3:I9" si="0">SUM(C3:H3)</f>
        <v>0</v>
      </c>
    </row>
    <row r="4" spans="1:9" x14ac:dyDescent="0.2">
      <c r="A4" s="24" t="s">
        <v>4</v>
      </c>
      <c r="B4" s="24" t="s">
        <v>5</v>
      </c>
      <c r="C4" s="85"/>
      <c r="D4" s="85"/>
      <c r="E4" s="85"/>
      <c r="F4" s="85"/>
      <c r="G4" s="85"/>
      <c r="H4" s="85"/>
      <c r="I4" s="85">
        <f t="shared" si="0"/>
        <v>0</v>
      </c>
    </row>
    <row r="5" spans="1:9" x14ac:dyDescent="0.2">
      <c r="A5" s="24" t="s">
        <v>6</v>
      </c>
      <c r="B5" s="24" t="s">
        <v>7</v>
      </c>
      <c r="C5" s="85"/>
      <c r="D5" s="85"/>
      <c r="E5" s="85"/>
      <c r="F5" s="85"/>
      <c r="G5" s="85"/>
      <c r="H5" s="85"/>
      <c r="I5" s="85">
        <f t="shared" si="0"/>
        <v>0</v>
      </c>
    </row>
    <row r="6" spans="1:9" x14ac:dyDescent="0.2">
      <c r="A6" s="24" t="s">
        <v>8</v>
      </c>
      <c r="B6" s="24" t="s">
        <v>9</v>
      </c>
      <c r="C6" s="85"/>
      <c r="D6" s="85"/>
      <c r="E6" s="85"/>
      <c r="F6" s="85"/>
      <c r="G6" s="85"/>
      <c r="H6" s="85"/>
      <c r="I6" s="85">
        <f t="shared" si="0"/>
        <v>0</v>
      </c>
    </row>
    <row r="7" spans="1:9" x14ac:dyDescent="0.2">
      <c r="A7" s="24" t="s">
        <v>10</v>
      </c>
      <c r="B7" s="24" t="s">
        <v>11</v>
      </c>
      <c r="C7" s="85"/>
      <c r="D7" s="85"/>
      <c r="E7" s="85"/>
      <c r="F7" s="85"/>
      <c r="G7" s="85"/>
      <c r="H7" s="85"/>
      <c r="I7" s="85">
        <f t="shared" si="0"/>
        <v>0</v>
      </c>
    </row>
    <row r="8" spans="1:9" x14ac:dyDescent="0.2">
      <c r="A8" s="24" t="s">
        <v>37</v>
      </c>
      <c r="B8" s="24" t="s">
        <v>39</v>
      </c>
      <c r="C8" s="85"/>
      <c r="D8" s="85"/>
      <c r="E8" s="85"/>
      <c r="F8" s="85"/>
      <c r="G8" s="85"/>
      <c r="H8" s="85"/>
      <c r="I8" s="85">
        <f t="shared" si="0"/>
        <v>0</v>
      </c>
    </row>
    <row r="9" spans="1:9" x14ac:dyDescent="0.2">
      <c r="A9" s="24" t="s">
        <v>38</v>
      </c>
      <c r="C9" s="85"/>
      <c r="D9" s="85"/>
      <c r="E9" s="85"/>
      <c r="F9" s="85"/>
      <c r="G9" s="85"/>
      <c r="H9" s="85"/>
      <c r="I9" s="85">
        <f t="shared" si="0"/>
        <v>0</v>
      </c>
    </row>
    <row r="10" spans="1:9" s="81" customFormat="1" x14ac:dyDescent="0.2">
      <c r="A10" s="83" t="s">
        <v>12</v>
      </c>
      <c r="B10" s="83" t="s">
        <v>62</v>
      </c>
      <c r="C10" s="86">
        <f t="shared" ref="C10:G10" si="1">SUM(C3:C9)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>SUM(H3:H9)</f>
        <v>0</v>
      </c>
      <c r="I10" s="86">
        <f>SUM(I3:I9)</f>
        <v>0</v>
      </c>
    </row>
    <row r="11" spans="1:9" s="109" customFormat="1" x14ac:dyDescent="0.2">
      <c r="A11" s="108" t="s">
        <v>67</v>
      </c>
      <c r="B11" s="109" t="s">
        <v>66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1">
        <f>SUM(C10:H10)</f>
        <v>0</v>
      </c>
    </row>
    <row r="12" spans="1:9" s="81" customFormat="1" x14ac:dyDescent="0.2">
      <c r="A12" s="82" t="s">
        <v>13</v>
      </c>
      <c r="B12" s="83" t="s">
        <v>63</v>
      </c>
      <c r="C12" s="83" t="s">
        <v>65</v>
      </c>
      <c r="D12" s="83" t="s">
        <v>58</v>
      </c>
      <c r="E12" s="83" t="s">
        <v>59</v>
      </c>
      <c r="F12" s="83" t="s">
        <v>60</v>
      </c>
      <c r="G12" s="83" t="s">
        <v>61</v>
      </c>
      <c r="H12" s="83" t="s">
        <v>96</v>
      </c>
      <c r="I12" s="83" t="s">
        <v>62</v>
      </c>
    </row>
    <row r="13" spans="1:9" x14ac:dyDescent="0.2">
      <c r="A13" s="84" t="s">
        <v>14</v>
      </c>
      <c r="B13" s="24" t="s">
        <v>15</v>
      </c>
      <c r="C13" s="85"/>
      <c r="D13" s="85"/>
      <c r="E13" s="85"/>
      <c r="F13" s="85"/>
      <c r="G13" s="85"/>
      <c r="H13" s="85"/>
      <c r="I13" s="85">
        <f t="shared" ref="I13:I26" si="2">SUM(C13:H13)</f>
        <v>0</v>
      </c>
    </row>
    <row r="14" spans="1:9" x14ac:dyDescent="0.2">
      <c r="A14" s="84" t="s">
        <v>16</v>
      </c>
      <c r="B14" s="24" t="s">
        <v>17</v>
      </c>
      <c r="C14" s="85"/>
      <c r="D14" s="85"/>
      <c r="E14" s="85"/>
      <c r="F14" s="85"/>
      <c r="G14" s="85"/>
      <c r="H14" s="85"/>
      <c r="I14" s="85">
        <f t="shared" si="2"/>
        <v>0</v>
      </c>
    </row>
    <row r="15" spans="1:9" x14ac:dyDescent="0.2">
      <c r="A15" s="84" t="s">
        <v>18</v>
      </c>
      <c r="B15" s="24" t="s">
        <v>19</v>
      </c>
      <c r="C15" s="85"/>
      <c r="D15" s="85"/>
      <c r="E15" s="85"/>
      <c r="F15" s="85"/>
      <c r="G15" s="85"/>
      <c r="H15" s="85"/>
      <c r="I15" s="85">
        <f t="shared" si="2"/>
        <v>0</v>
      </c>
    </row>
    <row r="16" spans="1:9" x14ac:dyDescent="0.2">
      <c r="A16" s="84" t="s">
        <v>20</v>
      </c>
      <c r="B16" s="24" t="s">
        <v>36</v>
      </c>
      <c r="C16" s="85"/>
      <c r="D16" s="85"/>
      <c r="E16" s="85"/>
      <c r="F16" s="85"/>
      <c r="G16" s="85"/>
      <c r="H16" s="85"/>
      <c r="I16" s="85">
        <f t="shared" si="2"/>
        <v>0</v>
      </c>
    </row>
    <row r="17" spans="1:10" x14ac:dyDescent="0.2">
      <c r="A17" s="84" t="s">
        <v>21</v>
      </c>
      <c r="B17" s="24" t="s">
        <v>22</v>
      </c>
      <c r="C17" s="85"/>
      <c r="D17" s="85"/>
      <c r="E17" s="85"/>
      <c r="F17" s="85"/>
      <c r="G17" s="85"/>
      <c r="H17" s="85"/>
      <c r="I17" s="85">
        <f t="shared" si="2"/>
        <v>0</v>
      </c>
    </row>
    <row r="18" spans="1:10" x14ac:dyDescent="0.2">
      <c r="A18" s="84" t="s">
        <v>52</v>
      </c>
      <c r="B18" s="24" t="s">
        <v>54</v>
      </c>
      <c r="C18" s="85"/>
      <c r="D18" s="85"/>
      <c r="E18" s="85"/>
      <c r="F18" s="85"/>
      <c r="G18" s="85"/>
      <c r="H18" s="85"/>
      <c r="I18" s="85">
        <f t="shared" si="2"/>
        <v>0</v>
      </c>
    </row>
    <row r="19" spans="1:10" x14ac:dyDescent="0.2">
      <c r="A19" s="84" t="s">
        <v>53</v>
      </c>
      <c r="B19" s="24" t="s">
        <v>87</v>
      </c>
      <c r="C19" s="85"/>
      <c r="D19" s="85"/>
      <c r="E19" s="85"/>
      <c r="F19" s="85"/>
      <c r="G19" s="85"/>
      <c r="H19" s="85"/>
      <c r="I19" s="85">
        <f t="shared" si="2"/>
        <v>0</v>
      </c>
      <c r="J19" s="88">
        <f>SUM(I13:I19)</f>
        <v>0</v>
      </c>
    </row>
    <row r="20" spans="1:10" x14ac:dyDescent="0.2">
      <c r="A20" s="44" t="s">
        <v>23</v>
      </c>
      <c r="B20" s="24" t="s">
        <v>31</v>
      </c>
      <c r="C20" s="85"/>
      <c r="D20" s="85"/>
      <c r="E20" s="85"/>
      <c r="F20" s="85"/>
      <c r="G20" s="85"/>
      <c r="H20" s="85"/>
      <c r="I20" s="85">
        <f t="shared" si="2"/>
        <v>0</v>
      </c>
    </row>
    <row r="21" spans="1:10" x14ac:dyDescent="0.2">
      <c r="A21" s="84" t="s">
        <v>24</v>
      </c>
      <c r="B21" s="24" t="s">
        <v>47</v>
      </c>
      <c r="C21" s="85"/>
      <c r="D21" s="85"/>
      <c r="E21" s="85"/>
      <c r="F21" s="85"/>
      <c r="G21" s="85"/>
      <c r="H21" s="85"/>
      <c r="I21" s="85">
        <f t="shared" si="2"/>
        <v>0</v>
      </c>
    </row>
    <row r="22" spans="1:10" x14ac:dyDescent="0.2">
      <c r="A22" s="84" t="s">
        <v>25</v>
      </c>
      <c r="B22" s="24" t="s">
        <v>26</v>
      </c>
      <c r="C22" s="85"/>
      <c r="D22" s="85"/>
      <c r="E22" s="85"/>
      <c r="F22" s="85"/>
      <c r="G22" s="85"/>
      <c r="H22" s="85"/>
      <c r="I22" s="85">
        <f t="shared" si="2"/>
        <v>0</v>
      </c>
    </row>
    <row r="23" spans="1:10" x14ac:dyDescent="0.2">
      <c r="A23" s="84" t="s">
        <v>27</v>
      </c>
      <c r="B23" s="24" t="s">
        <v>28</v>
      </c>
      <c r="C23" s="85"/>
      <c r="D23" s="85"/>
      <c r="E23" s="85"/>
      <c r="F23" s="85"/>
      <c r="G23" s="85"/>
      <c r="H23" s="85"/>
      <c r="I23" s="85">
        <f t="shared" si="2"/>
        <v>0</v>
      </c>
    </row>
    <row r="24" spans="1:10" x14ac:dyDescent="0.2">
      <c r="A24" s="84" t="s">
        <v>29</v>
      </c>
      <c r="B24" s="24" t="s">
        <v>30</v>
      </c>
      <c r="C24" s="85"/>
      <c r="D24" s="85"/>
      <c r="E24" s="85"/>
      <c r="F24" s="85"/>
      <c r="G24" s="85"/>
      <c r="H24" s="85"/>
      <c r="I24" s="85">
        <f t="shared" si="2"/>
        <v>0</v>
      </c>
    </row>
    <row r="25" spans="1:10" x14ac:dyDescent="0.2">
      <c r="A25" s="84" t="s">
        <v>37</v>
      </c>
      <c r="B25" s="24" t="s">
        <v>46</v>
      </c>
      <c r="C25" s="85"/>
      <c r="E25" s="85"/>
      <c r="F25" s="85"/>
      <c r="G25" s="85"/>
      <c r="H25" s="85"/>
      <c r="I25" s="85">
        <f>SUM(C25:H25)</f>
        <v>0</v>
      </c>
    </row>
    <row r="26" spans="1:10" x14ac:dyDescent="0.2">
      <c r="A26" s="24" t="s">
        <v>77</v>
      </c>
      <c r="B26" s="24" t="s">
        <v>76</v>
      </c>
      <c r="C26" s="85"/>
      <c r="D26" s="85"/>
      <c r="E26" s="85"/>
      <c r="F26" s="85"/>
      <c r="G26" s="85"/>
      <c r="H26" s="85"/>
      <c r="I26" s="85">
        <f t="shared" si="2"/>
        <v>0</v>
      </c>
    </row>
    <row r="27" spans="1:10" s="81" customFormat="1" x14ac:dyDescent="0.2">
      <c r="A27" s="83"/>
      <c r="B27" s="83" t="s">
        <v>62</v>
      </c>
      <c r="C27" s="86">
        <f>SUM(C13:C26)</f>
        <v>0</v>
      </c>
      <c r="D27" s="86">
        <f>SUM(D13:D26)</f>
        <v>0</v>
      </c>
      <c r="E27" s="86">
        <f t="shared" ref="E27:I27" si="3">SUM(E13:E26)</f>
        <v>0</v>
      </c>
      <c r="F27" s="86">
        <f t="shared" si="3"/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</row>
    <row r="28" spans="1:10" x14ac:dyDescent="0.2">
      <c r="A28" s="87"/>
      <c r="C28" s="85"/>
      <c r="D28" s="85"/>
      <c r="E28" s="85"/>
      <c r="F28" s="85"/>
      <c r="G28" s="85"/>
      <c r="H28" s="85"/>
      <c r="I28" s="85">
        <f>SUM(C27:H27)</f>
        <v>0</v>
      </c>
    </row>
    <row r="29" spans="1:10" x14ac:dyDescent="0.2">
      <c r="C29" s="88">
        <f>C10-C27</f>
        <v>0</v>
      </c>
      <c r="D29" s="88">
        <f>D10-D27</f>
        <v>0</v>
      </c>
      <c r="E29" s="88">
        <f t="shared" ref="E29:I29" si="4">E10-E27</f>
        <v>0</v>
      </c>
      <c r="F29" s="88">
        <f t="shared" si="4"/>
        <v>0</v>
      </c>
      <c r="G29" s="88">
        <f t="shared" si="4"/>
        <v>0</v>
      </c>
      <c r="H29" s="88">
        <f t="shared" si="4"/>
        <v>0</v>
      </c>
      <c r="I29" s="88">
        <f t="shared" si="4"/>
        <v>0</v>
      </c>
    </row>
    <row r="30" spans="1:10" x14ac:dyDescent="0.2">
      <c r="A30" s="89" t="s">
        <v>68</v>
      </c>
      <c r="B30" s="89"/>
      <c r="C30" s="90">
        <v>3622206</v>
      </c>
      <c r="D30" s="91">
        <v>42297575</v>
      </c>
      <c r="E30" s="90">
        <v>30390896</v>
      </c>
      <c r="F30" s="90">
        <v>33581627</v>
      </c>
      <c r="G30" s="90">
        <v>5075096</v>
      </c>
      <c r="H30" s="90">
        <v>6202508</v>
      </c>
      <c r="I30" s="90">
        <v>121169908</v>
      </c>
    </row>
    <row r="31" spans="1:10" x14ac:dyDescent="0.2">
      <c r="C31" s="88">
        <f>C27-C30</f>
        <v>-3622206</v>
      </c>
      <c r="D31" s="88">
        <f>D27-D30</f>
        <v>-42297575</v>
      </c>
      <c r="E31" s="88">
        <f t="shared" ref="E31:I31" si="5">E27-E30</f>
        <v>-30390896</v>
      </c>
      <c r="F31" s="88">
        <f t="shared" si="5"/>
        <v>-33581627</v>
      </c>
      <c r="G31" s="88">
        <f t="shared" si="5"/>
        <v>-5075096</v>
      </c>
      <c r="H31" s="88">
        <f t="shared" si="5"/>
        <v>-6202508</v>
      </c>
      <c r="I31" s="88">
        <f t="shared" si="5"/>
        <v>-121169908</v>
      </c>
    </row>
    <row r="33" spans="1:9" x14ac:dyDescent="0.2">
      <c r="A33" s="126" t="s">
        <v>95</v>
      </c>
      <c r="B33" s="126"/>
      <c r="C33" s="127">
        <v>8277340</v>
      </c>
      <c r="D33" s="127">
        <v>47775590</v>
      </c>
      <c r="E33" s="127">
        <v>31068741</v>
      </c>
      <c r="F33" s="127">
        <v>33039656</v>
      </c>
      <c r="G33" s="127">
        <v>5023816</v>
      </c>
      <c r="H33" s="127">
        <v>3670590</v>
      </c>
      <c r="I33" s="127">
        <f>SUM(C33:H33)-0.6</f>
        <v>128855732.40000001</v>
      </c>
    </row>
    <row r="34" spans="1:9" x14ac:dyDescent="0.2">
      <c r="C34" s="125"/>
      <c r="D34" s="125"/>
      <c r="E34" s="125"/>
      <c r="F34" s="125"/>
      <c r="G34" s="125"/>
      <c r="H34" s="125"/>
    </row>
    <row r="35" spans="1:9" x14ac:dyDescent="0.2">
      <c r="B35" s="24" t="s">
        <v>97</v>
      </c>
      <c r="C35" s="125">
        <f>C27-C33</f>
        <v>-8277340</v>
      </c>
      <c r="D35" s="154">
        <f t="shared" ref="D35:G35" si="6">D27-D33</f>
        <v>-47775590</v>
      </c>
      <c r="E35" s="125">
        <f t="shared" si="6"/>
        <v>-31068741</v>
      </c>
      <c r="F35" s="154">
        <f t="shared" si="6"/>
        <v>-33039656</v>
      </c>
      <c r="G35" s="125">
        <f t="shared" si="6"/>
        <v>-5023816</v>
      </c>
      <c r="H35" s="125">
        <f>H27-H33+0.8</f>
        <v>-3670589.2</v>
      </c>
    </row>
    <row r="37" spans="1:9" x14ac:dyDescent="0.2">
      <c r="D37" s="155" t="s">
        <v>125</v>
      </c>
      <c r="F37" s="155" t="s">
        <v>129</v>
      </c>
    </row>
    <row r="38" spans="1:9" x14ac:dyDescent="0.2">
      <c r="D38" s="155" t="s">
        <v>126</v>
      </c>
      <c r="F38" s="155" t="s">
        <v>130</v>
      </c>
    </row>
    <row r="39" spans="1:9" x14ac:dyDescent="0.2">
      <c r="D39" s="155"/>
      <c r="F39" s="155" t="s">
        <v>131</v>
      </c>
    </row>
    <row r="40" spans="1:9" x14ac:dyDescent="0.2">
      <c r="D40" s="155" t="s">
        <v>127</v>
      </c>
    </row>
    <row r="41" spans="1:9" x14ac:dyDescent="0.2">
      <c r="D41" s="155" t="s">
        <v>128</v>
      </c>
      <c r="F41" s="156" t="s">
        <v>132</v>
      </c>
    </row>
    <row r="42" spans="1:9" x14ac:dyDescent="0.2">
      <c r="D42" s="156">
        <v>1359394</v>
      </c>
      <c r="F42" s="155" t="s">
        <v>97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54"/>
  <sheetViews>
    <sheetView topLeftCell="A7" workbookViewId="0">
      <selection activeCell="H61" sqref="H61"/>
    </sheetView>
  </sheetViews>
  <sheetFormatPr defaultRowHeight="15" x14ac:dyDescent="0.25"/>
  <cols>
    <col min="5" max="6" width="9.85546875" bestFit="1" customWidth="1"/>
  </cols>
  <sheetData>
    <row r="4" spans="4:6" x14ac:dyDescent="0.25">
      <c r="E4" s="129" t="s">
        <v>9</v>
      </c>
      <c r="F4" s="130">
        <v>110914</v>
      </c>
    </row>
    <row r="5" spans="4:6" x14ac:dyDescent="0.25">
      <c r="E5" s="129" t="s">
        <v>9</v>
      </c>
      <c r="F5" s="130">
        <v>129855</v>
      </c>
    </row>
    <row r="6" spans="4:6" x14ac:dyDescent="0.25">
      <c r="E6" s="129">
        <v>11</v>
      </c>
      <c r="F6" s="130">
        <v>50000</v>
      </c>
    </row>
    <row r="7" spans="4:6" x14ac:dyDescent="0.25">
      <c r="E7" s="129">
        <v>11</v>
      </c>
      <c r="F7" s="130">
        <v>300000</v>
      </c>
    </row>
    <row r="8" spans="4:6" x14ac:dyDescent="0.25">
      <c r="E8" s="129" t="s">
        <v>9</v>
      </c>
      <c r="F8" s="130">
        <v>1335</v>
      </c>
    </row>
    <row r="9" spans="4:6" x14ac:dyDescent="0.25">
      <c r="E9" s="129" t="s">
        <v>9</v>
      </c>
      <c r="F9" s="130">
        <v>75328</v>
      </c>
    </row>
    <row r="10" spans="4:6" x14ac:dyDescent="0.25">
      <c r="E10" s="129" t="s">
        <v>7</v>
      </c>
      <c r="F10" s="130">
        <v>425000</v>
      </c>
    </row>
    <row r="11" spans="4:6" x14ac:dyDescent="0.25">
      <c r="F11" t="s">
        <v>33</v>
      </c>
    </row>
    <row r="12" spans="4:6" x14ac:dyDescent="0.25">
      <c r="F12" s="130">
        <f>SUM(F4:F11)</f>
        <v>1092432</v>
      </c>
    </row>
    <row r="15" spans="4:6" x14ac:dyDescent="0.25">
      <c r="D15" t="s">
        <v>102</v>
      </c>
      <c r="E15" s="130">
        <v>1256390</v>
      </c>
    </row>
    <row r="18" spans="4:7" x14ac:dyDescent="0.25">
      <c r="E18" s="129">
        <v>11</v>
      </c>
      <c r="F18" s="130">
        <v>439736</v>
      </c>
    </row>
    <row r="19" spans="4:7" x14ac:dyDescent="0.25">
      <c r="E19" s="129">
        <v>12</v>
      </c>
      <c r="F19" s="130">
        <v>188459</v>
      </c>
    </row>
    <row r="20" spans="4:7" x14ac:dyDescent="0.25">
      <c r="E20" s="129" t="s">
        <v>98</v>
      </c>
      <c r="F20" s="130">
        <v>125639</v>
      </c>
    </row>
    <row r="21" spans="4:7" x14ac:dyDescent="0.25">
      <c r="E21" s="129" t="s">
        <v>99</v>
      </c>
      <c r="F21" s="130">
        <v>125639</v>
      </c>
    </row>
    <row r="22" spans="4:7" x14ac:dyDescent="0.25">
      <c r="E22" s="129" t="s">
        <v>100</v>
      </c>
      <c r="F22" s="130">
        <v>188459</v>
      </c>
      <c r="G22" t="s">
        <v>33</v>
      </c>
    </row>
    <row r="23" spans="4:7" x14ac:dyDescent="0.25">
      <c r="E23" s="129" t="s">
        <v>101</v>
      </c>
      <c r="F23" s="130">
        <v>188458</v>
      </c>
    </row>
    <row r="24" spans="4:7" x14ac:dyDescent="0.25">
      <c r="F24" s="130"/>
    </row>
    <row r="25" spans="4:7" x14ac:dyDescent="0.25">
      <c r="F25" s="130">
        <f>SUM(F18:F24)</f>
        <v>1256390</v>
      </c>
    </row>
    <row r="26" spans="4:7" x14ac:dyDescent="0.25">
      <c r="F26" s="130"/>
    </row>
    <row r="27" spans="4:7" x14ac:dyDescent="0.25">
      <c r="F27" s="130"/>
    </row>
    <row r="28" spans="4:7" x14ac:dyDescent="0.25">
      <c r="F28" s="130"/>
    </row>
    <row r="29" spans="4:7" x14ac:dyDescent="0.25">
      <c r="D29" t="s">
        <v>103</v>
      </c>
      <c r="E29" s="130">
        <v>1398781</v>
      </c>
      <c r="F29" s="130"/>
    </row>
    <row r="30" spans="4:7" x14ac:dyDescent="0.25">
      <c r="F30" s="130"/>
    </row>
    <row r="31" spans="4:7" x14ac:dyDescent="0.25">
      <c r="E31" s="129">
        <v>11</v>
      </c>
      <c r="F31" s="130">
        <v>489573</v>
      </c>
    </row>
    <row r="32" spans="4:7" x14ac:dyDescent="0.25">
      <c r="E32" s="129">
        <v>12</v>
      </c>
      <c r="F32" s="130">
        <v>209817</v>
      </c>
    </row>
    <row r="33" spans="5:6" x14ac:dyDescent="0.25">
      <c r="E33" s="129" t="s">
        <v>98</v>
      </c>
      <c r="F33" s="130">
        <v>139878</v>
      </c>
    </row>
    <row r="34" spans="5:6" x14ac:dyDescent="0.25">
      <c r="E34" s="129" t="s">
        <v>99</v>
      </c>
      <c r="F34" s="130">
        <v>139879</v>
      </c>
    </row>
    <row r="35" spans="5:6" x14ac:dyDescent="0.25">
      <c r="E35" s="129" t="s">
        <v>100</v>
      </c>
      <c r="F35" s="130">
        <v>209817</v>
      </c>
    </row>
    <row r="36" spans="5:6" x14ac:dyDescent="0.25">
      <c r="E36" s="129" t="s">
        <v>101</v>
      </c>
      <c r="F36" s="130">
        <v>209817</v>
      </c>
    </row>
    <row r="37" spans="5:6" x14ac:dyDescent="0.25">
      <c r="F37" s="130"/>
    </row>
    <row r="38" spans="5:6" x14ac:dyDescent="0.25">
      <c r="F38" s="130">
        <f>SUM(F31:F37)</f>
        <v>1398781</v>
      </c>
    </row>
    <row r="41" spans="5:6" x14ac:dyDescent="0.25">
      <c r="E41" t="s">
        <v>104</v>
      </c>
      <c r="F41" s="130">
        <f>F12+F25+F38</f>
        <v>3747603</v>
      </c>
    </row>
    <row r="45" spans="5:6" x14ac:dyDescent="0.25">
      <c r="E45" s="129">
        <v>11</v>
      </c>
      <c r="F45" s="130">
        <f>F6+F7+F18+F31</f>
        <v>1279309</v>
      </c>
    </row>
    <row r="46" spans="5:6" x14ac:dyDescent="0.25">
      <c r="E46" s="129">
        <v>12</v>
      </c>
      <c r="F46" s="130">
        <f>F19+F32</f>
        <v>398276</v>
      </c>
    </row>
    <row r="47" spans="5:6" x14ac:dyDescent="0.25">
      <c r="E47" s="129" t="s">
        <v>98</v>
      </c>
      <c r="F47" s="130">
        <f>F20+F33</f>
        <v>265517</v>
      </c>
    </row>
    <row r="48" spans="5:6" x14ac:dyDescent="0.25">
      <c r="E48" s="129" t="s">
        <v>99</v>
      </c>
      <c r="F48" s="130">
        <f>F10+F21+F34</f>
        <v>690518</v>
      </c>
    </row>
    <row r="49" spans="5:6" x14ac:dyDescent="0.25">
      <c r="E49" s="129" t="s">
        <v>100</v>
      </c>
      <c r="F49" s="130">
        <f>F4+F5+F22+F35+F8+F9</f>
        <v>715708</v>
      </c>
    </row>
    <row r="50" spans="5:6" x14ac:dyDescent="0.25">
      <c r="E50" s="129" t="s">
        <v>101</v>
      </c>
      <c r="F50" s="130">
        <f>F23+F36</f>
        <v>398275</v>
      </c>
    </row>
    <row r="52" spans="5:6" x14ac:dyDescent="0.25">
      <c r="E52" s="129" t="s">
        <v>62</v>
      </c>
      <c r="F52" s="130">
        <f>SUM(F45:F51)</f>
        <v>3747603</v>
      </c>
    </row>
    <row r="54" spans="5:6" x14ac:dyDescent="0.25">
      <c r="E54" s="129" t="s">
        <v>51</v>
      </c>
      <c r="F54" s="130">
        <f>F41-F52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Summary</vt:lpstr>
      <vt:lpstr>Central</vt:lpstr>
      <vt:lpstr>North</vt:lpstr>
      <vt:lpstr>South</vt:lpstr>
      <vt:lpstr>SVI</vt:lpstr>
      <vt:lpstr>DWDO</vt:lpstr>
      <vt:lpstr>Data Worksheet for FY 1718</vt:lpstr>
      <vt:lpstr>Other</vt:lpstr>
      <vt:lpstr>Worksheet for central</vt:lpstr>
      <vt:lpstr>Worksheet for South &amp; North</vt:lpstr>
      <vt:lpstr>Central!Print_Area</vt:lpstr>
      <vt:lpstr>DWDO!Print_Area</vt:lpstr>
      <vt:lpstr>North!Print_Area</vt:lpstr>
      <vt:lpstr>South!Print_Area</vt:lpstr>
      <vt:lpstr>Summary!Print_Area</vt:lpstr>
      <vt:lpstr>SVI!Print_Area</vt:lpstr>
    </vt:vector>
  </TitlesOfParts>
  <Company>Seattle Community Colleges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MPham</dc:creator>
  <cp:lastModifiedBy>siegal</cp:lastModifiedBy>
  <cp:lastPrinted>2017-06-06T15:18:13Z</cp:lastPrinted>
  <dcterms:created xsi:type="dcterms:W3CDTF">2010-06-15T17:00:11Z</dcterms:created>
  <dcterms:modified xsi:type="dcterms:W3CDTF">2017-06-06T15:19:40Z</dcterms:modified>
</cp:coreProperties>
</file>